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Manual" sheetId="8" r:id="rId1"/>
    <sheet name="2021" sheetId="1" r:id="rId2"/>
    <sheet name="2022" sheetId="4" r:id="rId3"/>
    <sheet name="2023" sheetId="6" r:id="rId4"/>
    <sheet name="2024" sheetId="7" r:id="rId5"/>
    <sheet name="2025" sheetId="9" r:id="rId6"/>
  </sheets>
  <definedNames>
    <definedName name="_xlnm.Print_Area" localSheetId="1">'2021'!$B$1:$U$60</definedName>
    <definedName name="_xlnm.Print_Area" localSheetId="2">'2022'!$B$1:$U$60</definedName>
    <definedName name="_xlnm.Print_Area" localSheetId="3">'2023'!$B$1:$U$60</definedName>
    <definedName name="_xlnm.Print_Area" localSheetId="4">'2024'!$B$1:$U$60</definedName>
    <definedName name="_xlnm.Print_Area" localSheetId="5">'2025'!$B$1:$U$60</definedName>
    <definedName name="_xlnm.Print_Area" localSheetId="0">Manual!$B$1:$AC$33</definedName>
  </definedNames>
  <calcPr calcId="125725"/>
</workbook>
</file>

<file path=xl/calcChain.xml><?xml version="1.0" encoding="utf-8"?>
<calcChain xmlns="http://schemas.openxmlformats.org/spreadsheetml/2006/main">
  <c r="B3" i="4"/>
  <c r="S34" s="1"/>
  <c r="B3" i="9"/>
  <c r="B3" i="7"/>
  <c r="B3" i="6"/>
  <c r="X36" i="4"/>
  <c r="T35" i="9"/>
  <c r="X33" s="1"/>
  <c r="W34"/>
  <c r="O34"/>
  <c r="K34"/>
  <c r="G34"/>
  <c r="C34"/>
  <c r="S29"/>
  <c r="O29"/>
  <c r="K29"/>
  <c r="G29"/>
  <c r="C29"/>
  <c r="B28"/>
  <c r="S8" s="1"/>
  <c r="J26"/>
  <c r="F26"/>
  <c r="J23"/>
  <c r="F23"/>
  <c r="R22"/>
  <c r="N22"/>
  <c r="U22" s="1"/>
  <c r="J22"/>
  <c r="F22"/>
  <c r="R20"/>
  <c r="N20"/>
  <c r="J20"/>
  <c r="F20"/>
  <c r="U20" s="1"/>
  <c r="B20"/>
  <c r="K8" s="1"/>
  <c r="U19"/>
  <c r="Q18"/>
  <c r="M18"/>
  <c r="I18"/>
  <c r="F18"/>
  <c r="E18"/>
  <c r="N17"/>
  <c r="J17"/>
  <c r="F17"/>
  <c r="U16"/>
  <c r="B16"/>
  <c r="N14"/>
  <c r="F14"/>
  <c r="U13"/>
  <c r="R13"/>
  <c r="R14" s="1"/>
  <c r="N13"/>
  <c r="N27" s="1"/>
  <c r="J13"/>
  <c r="J27" s="1"/>
  <c r="F13"/>
  <c r="F24" s="1"/>
  <c r="B12"/>
  <c r="C8" s="1"/>
  <c r="X11"/>
  <c r="AC8"/>
  <c r="G8"/>
  <c r="B17" s="1"/>
  <c r="I8" s="1"/>
  <c r="U7"/>
  <c r="U6"/>
  <c r="X10" s="1"/>
  <c r="O6"/>
  <c r="B24" s="1"/>
  <c r="O8" s="1"/>
  <c r="K6"/>
  <c r="G6"/>
  <c r="C6"/>
  <c r="T5"/>
  <c r="S5"/>
  <c r="T35" i="7"/>
  <c r="W34"/>
  <c r="O34"/>
  <c r="K34"/>
  <c r="G34"/>
  <c r="C34"/>
  <c r="X33"/>
  <c r="S29"/>
  <c r="O29"/>
  <c r="K29"/>
  <c r="G29"/>
  <c r="C29"/>
  <c r="N27"/>
  <c r="N26"/>
  <c r="J26"/>
  <c r="N23"/>
  <c r="J23"/>
  <c r="N22"/>
  <c r="F22"/>
  <c r="R20"/>
  <c r="N20"/>
  <c r="J20"/>
  <c r="F20"/>
  <c r="U20" s="1"/>
  <c r="B20"/>
  <c r="U19"/>
  <c r="Q18"/>
  <c r="N18"/>
  <c r="M18"/>
  <c r="I18"/>
  <c r="E18"/>
  <c r="N17"/>
  <c r="U16"/>
  <c r="N13"/>
  <c r="N14" s="1"/>
  <c r="J13"/>
  <c r="J18" s="1"/>
  <c r="X11"/>
  <c r="AC8"/>
  <c r="K8"/>
  <c r="U7"/>
  <c r="O6"/>
  <c r="B24" s="1"/>
  <c r="O8" s="1"/>
  <c r="K6"/>
  <c r="G6"/>
  <c r="B16" s="1"/>
  <c r="G8" s="1"/>
  <c r="C6"/>
  <c r="F13" s="1"/>
  <c r="T5"/>
  <c r="S5"/>
  <c r="U5" s="1"/>
  <c r="T35" i="6"/>
  <c r="W34"/>
  <c r="O34"/>
  <c r="K34"/>
  <c r="G34"/>
  <c r="C34"/>
  <c r="X33"/>
  <c r="S29"/>
  <c r="O29"/>
  <c r="K29"/>
  <c r="G29"/>
  <c r="C29"/>
  <c r="J26"/>
  <c r="F22"/>
  <c r="R20"/>
  <c r="N20"/>
  <c r="J20"/>
  <c r="F20"/>
  <c r="U20" s="1"/>
  <c r="U19"/>
  <c r="Q18"/>
  <c r="M18"/>
  <c r="I18"/>
  <c r="E18"/>
  <c r="F18" s="1"/>
  <c r="U16"/>
  <c r="J14"/>
  <c r="F14"/>
  <c r="J13"/>
  <c r="J18" s="1"/>
  <c r="F13"/>
  <c r="F27" s="1"/>
  <c r="B12"/>
  <c r="C8" s="1"/>
  <c r="X11"/>
  <c r="AC8"/>
  <c r="U7"/>
  <c r="O6"/>
  <c r="B24" s="1"/>
  <c r="O8" s="1"/>
  <c r="K6"/>
  <c r="N13" s="1"/>
  <c r="G6"/>
  <c r="B16" s="1"/>
  <c r="G8" s="1"/>
  <c r="C6"/>
  <c r="U6" s="1"/>
  <c r="X10" s="1"/>
  <c r="T5"/>
  <c r="S5"/>
  <c r="U5" s="1"/>
  <c r="X35" i="1"/>
  <c r="W35" s="1"/>
  <c r="X34"/>
  <c r="W34"/>
  <c r="X33"/>
  <c r="AC13" i="4"/>
  <c r="AB13"/>
  <c r="AB13" i="1"/>
  <c r="AC13"/>
  <c r="X11" i="4"/>
  <c r="AA10"/>
  <c r="X10"/>
  <c r="AC10" s="1"/>
  <c r="AC11" s="1"/>
  <c r="AC12" s="1"/>
  <c r="AC8"/>
  <c r="AC12" i="1"/>
  <c r="AA12"/>
  <c r="AC11"/>
  <c r="AA11"/>
  <c r="X11"/>
  <c r="S5" i="4"/>
  <c r="S29"/>
  <c r="O29"/>
  <c r="K29"/>
  <c r="G29"/>
  <c r="C29"/>
  <c r="W34"/>
  <c r="X33"/>
  <c r="C36" i="1"/>
  <c r="C33"/>
  <c r="S29"/>
  <c r="O29"/>
  <c r="K29"/>
  <c r="G29"/>
  <c r="C29"/>
  <c r="G6"/>
  <c r="J13" s="1"/>
  <c r="J27" s="1"/>
  <c r="B1"/>
  <c r="E18"/>
  <c r="X2"/>
  <c r="B27"/>
  <c r="S11"/>
  <c r="L37" i="4"/>
  <c r="H37"/>
  <c r="D37"/>
  <c r="T35"/>
  <c r="O34"/>
  <c r="K34"/>
  <c r="G34"/>
  <c r="C34"/>
  <c r="C30" i="1"/>
  <c r="S31"/>
  <c r="O31"/>
  <c r="K31"/>
  <c r="G31"/>
  <c r="C31"/>
  <c r="P37"/>
  <c r="L37"/>
  <c r="L9" i="4"/>
  <c r="K9"/>
  <c r="H9"/>
  <c r="G9"/>
  <c r="U7" i="1"/>
  <c r="P9"/>
  <c r="L9"/>
  <c r="O9"/>
  <c r="K9"/>
  <c r="T35"/>
  <c r="S34"/>
  <c r="O34"/>
  <c r="K34"/>
  <c r="G34"/>
  <c r="C34"/>
  <c r="Q4"/>
  <c r="P4"/>
  <c r="O4"/>
  <c r="M4"/>
  <c r="L4"/>
  <c r="K4"/>
  <c r="Q18" i="4"/>
  <c r="M18"/>
  <c r="J26"/>
  <c r="I18"/>
  <c r="F22"/>
  <c r="E18"/>
  <c r="AC8" i="1"/>
  <c r="R20" i="4"/>
  <c r="N20"/>
  <c r="J20"/>
  <c r="F20"/>
  <c r="U19"/>
  <c r="U16"/>
  <c r="U7"/>
  <c r="K6"/>
  <c r="B20" s="1"/>
  <c r="K8" s="1"/>
  <c r="G6"/>
  <c r="B16" s="1"/>
  <c r="G8" s="1"/>
  <c r="C6"/>
  <c r="F13" s="1"/>
  <c r="U5" i="1"/>
  <c r="Q18"/>
  <c r="M18"/>
  <c r="I18"/>
  <c r="B24"/>
  <c r="O8" s="1"/>
  <c r="B25" s="1"/>
  <c r="B20"/>
  <c r="K8" s="1"/>
  <c r="B21" s="1"/>
  <c r="M8" s="1"/>
  <c r="R13"/>
  <c r="R27" s="1"/>
  <c r="N13"/>
  <c r="N27" s="1"/>
  <c r="R20"/>
  <c r="N20"/>
  <c r="J20"/>
  <c r="F20"/>
  <c r="U19"/>
  <c r="U16"/>
  <c r="O6"/>
  <c r="K6"/>
  <c r="C6"/>
  <c r="T5"/>
  <c r="S5"/>
  <c r="B12" i="7" l="1"/>
  <c r="C8" s="1"/>
  <c r="D9" s="1"/>
  <c r="C30" i="6"/>
  <c r="AA11" i="9"/>
  <c r="AA12" s="1"/>
  <c r="B21"/>
  <c r="M8" s="1"/>
  <c r="L9"/>
  <c r="P9"/>
  <c r="Q8"/>
  <c r="B25"/>
  <c r="U14"/>
  <c r="U23"/>
  <c r="T8"/>
  <c r="B29"/>
  <c r="T9"/>
  <c r="B13"/>
  <c r="E8" s="1"/>
  <c r="D9"/>
  <c r="R24"/>
  <c r="U5"/>
  <c r="R23"/>
  <c r="R26"/>
  <c r="M28"/>
  <c r="N28" s="1"/>
  <c r="N29" s="1"/>
  <c r="J14"/>
  <c r="N23"/>
  <c r="N26"/>
  <c r="U26" s="1"/>
  <c r="H9"/>
  <c r="R17"/>
  <c r="U17" s="1"/>
  <c r="R18"/>
  <c r="J18"/>
  <c r="F27"/>
  <c r="U27" s="1"/>
  <c r="N24"/>
  <c r="R27"/>
  <c r="N18"/>
  <c r="J24"/>
  <c r="U24" s="1"/>
  <c r="M8" i="7"/>
  <c r="Q8"/>
  <c r="P9"/>
  <c r="B25"/>
  <c r="B17"/>
  <c r="I8" s="1"/>
  <c r="H9"/>
  <c r="F18"/>
  <c r="F27"/>
  <c r="F24"/>
  <c r="F14"/>
  <c r="F17"/>
  <c r="U13"/>
  <c r="F26"/>
  <c r="F23"/>
  <c r="L9"/>
  <c r="J14"/>
  <c r="J17"/>
  <c r="R13"/>
  <c r="U6"/>
  <c r="X10" s="1"/>
  <c r="J22"/>
  <c r="N24"/>
  <c r="M28" s="1"/>
  <c r="N28" s="1"/>
  <c r="N29" s="1"/>
  <c r="J24"/>
  <c r="B21"/>
  <c r="J27"/>
  <c r="C36" i="4"/>
  <c r="C33"/>
  <c r="K31"/>
  <c r="G31"/>
  <c r="S31"/>
  <c r="X2"/>
  <c r="B1" s="1"/>
  <c r="C31"/>
  <c r="O31"/>
  <c r="N14" i="6"/>
  <c r="N18"/>
  <c r="N27"/>
  <c r="N24"/>
  <c r="N26"/>
  <c r="N22"/>
  <c r="N17"/>
  <c r="N23"/>
  <c r="AA11"/>
  <c r="AA12" s="1"/>
  <c r="B17"/>
  <c r="I8" s="1"/>
  <c r="H9"/>
  <c r="B28"/>
  <c r="S8" s="1"/>
  <c r="B13"/>
  <c r="D9"/>
  <c r="E8"/>
  <c r="P9"/>
  <c r="Q8"/>
  <c r="B25"/>
  <c r="B20"/>
  <c r="K8" s="1"/>
  <c r="F23"/>
  <c r="F26"/>
  <c r="E28"/>
  <c r="F28" s="1"/>
  <c r="J23"/>
  <c r="I28" s="1"/>
  <c r="J28" s="1"/>
  <c r="U13"/>
  <c r="J17"/>
  <c r="R13"/>
  <c r="F17"/>
  <c r="F29" s="1"/>
  <c r="J22"/>
  <c r="F24"/>
  <c r="J27"/>
  <c r="J24"/>
  <c r="AA11" i="4"/>
  <c r="AA12" s="1"/>
  <c r="O6"/>
  <c r="R13" s="1"/>
  <c r="R18" s="1"/>
  <c r="U6" i="1"/>
  <c r="X10" s="1"/>
  <c r="B16"/>
  <c r="G8" s="1"/>
  <c r="C30" i="4"/>
  <c r="B12" i="1"/>
  <c r="C8" s="1"/>
  <c r="B13" s="1"/>
  <c r="U20" i="4"/>
  <c r="T5"/>
  <c r="B12"/>
  <c r="C8" s="1"/>
  <c r="B21"/>
  <c r="M8" s="1"/>
  <c r="B17"/>
  <c r="I8" s="1"/>
  <c r="F27"/>
  <c r="F24"/>
  <c r="F17"/>
  <c r="F18"/>
  <c r="F23"/>
  <c r="F26"/>
  <c r="F14"/>
  <c r="N13"/>
  <c r="J13"/>
  <c r="J18" s="1"/>
  <c r="Q8" i="1"/>
  <c r="R14"/>
  <c r="N22"/>
  <c r="N14"/>
  <c r="J14"/>
  <c r="J24"/>
  <c r="J18"/>
  <c r="U20"/>
  <c r="F13"/>
  <c r="F27" s="1"/>
  <c r="U27" s="1"/>
  <c r="R26"/>
  <c r="N18"/>
  <c r="N17"/>
  <c r="J23"/>
  <c r="J22"/>
  <c r="R24"/>
  <c r="R17"/>
  <c r="N23"/>
  <c r="J17"/>
  <c r="N26"/>
  <c r="N24"/>
  <c r="R23"/>
  <c r="R18"/>
  <c r="J26"/>
  <c r="R22"/>
  <c r="B13" i="7" l="1"/>
  <c r="E8" s="1"/>
  <c r="G31" i="6"/>
  <c r="G31" i="7"/>
  <c r="O31" i="6"/>
  <c r="S34"/>
  <c r="X2"/>
  <c r="B1" s="1"/>
  <c r="C33"/>
  <c r="C36"/>
  <c r="C31"/>
  <c r="K31"/>
  <c r="S31"/>
  <c r="N31" i="9"/>
  <c r="L37"/>
  <c r="U29"/>
  <c r="U31" s="1"/>
  <c r="U12"/>
  <c r="F29"/>
  <c r="E28"/>
  <c r="F28" s="1"/>
  <c r="U28" s="1"/>
  <c r="U18"/>
  <c r="I28"/>
  <c r="J28" s="1"/>
  <c r="J29"/>
  <c r="R29"/>
  <c r="Q28"/>
  <c r="R28" s="1"/>
  <c r="L37" i="7"/>
  <c r="N31"/>
  <c r="U27"/>
  <c r="U14"/>
  <c r="E28"/>
  <c r="F28" s="1"/>
  <c r="F29" s="1"/>
  <c r="AA11"/>
  <c r="AA12" s="1"/>
  <c r="J29"/>
  <c r="I28"/>
  <c r="J28" s="1"/>
  <c r="U23"/>
  <c r="U22"/>
  <c r="U24"/>
  <c r="R26"/>
  <c r="U26" s="1"/>
  <c r="R23"/>
  <c r="R14"/>
  <c r="R27"/>
  <c r="R24"/>
  <c r="R18"/>
  <c r="R22"/>
  <c r="R17"/>
  <c r="U17" s="1"/>
  <c r="B28"/>
  <c r="S8" s="1"/>
  <c r="U18"/>
  <c r="D37" i="6"/>
  <c r="F31"/>
  <c r="U27"/>
  <c r="M28"/>
  <c r="N28" s="1"/>
  <c r="J29"/>
  <c r="U24"/>
  <c r="R26"/>
  <c r="R23"/>
  <c r="R14"/>
  <c r="R27"/>
  <c r="R24"/>
  <c r="R18"/>
  <c r="U18" s="1"/>
  <c r="R22"/>
  <c r="U22" s="1"/>
  <c r="R17"/>
  <c r="U17" s="1"/>
  <c r="M8"/>
  <c r="B21"/>
  <c r="L9"/>
  <c r="T9"/>
  <c r="B29"/>
  <c r="T8" s="1"/>
  <c r="U23"/>
  <c r="U26"/>
  <c r="U14"/>
  <c r="R27" i="4"/>
  <c r="R14"/>
  <c r="Q28" s="1"/>
  <c r="R28" s="1"/>
  <c r="R29" s="1"/>
  <c r="R24"/>
  <c r="R17"/>
  <c r="R23"/>
  <c r="B24"/>
  <c r="O8" s="1"/>
  <c r="P9" s="1"/>
  <c r="R22"/>
  <c r="R26"/>
  <c r="U6"/>
  <c r="B13"/>
  <c r="E8" s="1"/>
  <c r="D9"/>
  <c r="C9"/>
  <c r="H9" i="1"/>
  <c r="B28"/>
  <c r="S8" s="1"/>
  <c r="B17"/>
  <c r="I8" s="1"/>
  <c r="D9"/>
  <c r="U5" i="4"/>
  <c r="B28"/>
  <c r="S8" s="1"/>
  <c r="N27"/>
  <c r="N22"/>
  <c r="N18"/>
  <c r="U18" s="1"/>
  <c r="N26"/>
  <c r="N24"/>
  <c r="N17"/>
  <c r="N23"/>
  <c r="N14"/>
  <c r="J23"/>
  <c r="J14"/>
  <c r="J27"/>
  <c r="J24"/>
  <c r="J22"/>
  <c r="U26"/>
  <c r="J17"/>
  <c r="U13"/>
  <c r="E28"/>
  <c r="F28" s="1"/>
  <c r="Q28" i="1"/>
  <c r="R28" s="1"/>
  <c r="R29" s="1"/>
  <c r="R31" s="1"/>
  <c r="I28"/>
  <c r="J28" s="1"/>
  <c r="J29" s="1"/>
  <c r="M28"/>
  <c r="N28" s="1"/>
  <c r="N29" s="1"/>
  <c r="N31" s="1"/>
  <c r="F22"/>
  <c r="U22" s="1"/>
  <c r="F23"/>
  <c r="U23" s="1"/>
  <c r="F17"/>
  <c r="U17" s="1"/>
  <c r="F26"/>
  <c r="U26" s="1"/>
  <c r="U24"/>
  <c r="F18"/>
  <c r="U18" s="1"/>
  <c r="U13"/>
  <c r="F14"/>
  <c r="F24"/>
  <c r="X2" i="7" l="1"/>
  <c r="B1" s="1"/>
  <c r="K31"/>
  <c r="G31" i="9"/>
  <c r="C31" i="7"/>
  <c r="O31"/>
  <c r="S34"/>
  <c r="C33"/>
  <c r="C36"/>
  <c r="C30"/>
  <c r="S31"/>
  <c r="K4" i="9"/>
  <c r="M4"/>
  <c r="L4"/>
  <c r="K9"/>
  <c r="AA10"/>
  <c r="AC10" s="1"/>
  <c r="AC11" s="1"/>
  <c r="AC12" s="1"/>
  <c r="AC13" s="1"/>
  <c r="AB13" s="1"/>
  <c r="T4"/>
  <c r="S4"/>
  <c r="D37"/>
  <c r="F31"/>
  <c r="U4"/>
  <c r="P37"/>
  <c r="R31"/>
  <c r="H37"/>
  <c r="J31"/>
  <c r="L4" i="7"/>
  <c r="K4"/>
  <c r="M4"/>
  <c r="K9"/>
  <c r="U12"/>
  <c r="Q28"/>
  <c r="R28" s="1"/>
  <c r="U28" s="1"/>
  <c r="U29" s="1"/>
  <c r="U31" s="1"/>
  <c r="D37"/>
  <c r="F31"/>
  <c r="H37"/>
  <c r="J31"/>
  <c r="T9"/>
  <c r="B29"/>
  <c r="T8" s="1"/>
  <c r="H37" i="6"/>
  <c r="J31"/>
  <c r="U12"/>
  <c r="N29"/>
  <c r="C4"/>
  <c r="D4"/>
  <c r="E4"/>
  <c r="C9"/>
  <c r="Q28"/>
  <c r="R28" s="1"/>
  <c r="R29" s="1"/>
  <c r="B25" i="4"/>
  <c r="Q8" s="1"/>
  <c r="U23"/>
  <c r="R31"/>
  <c r="O9" s="1"/>
  <c r="S9" s="1"/>
  <c r="P37"/>
  <c r="T37" s="1"/>
  <c r="X34" s="1"/>
  <c r="X35" s="1"/>
  <c r="B29"/>
  <c r="T8" s="1"/>
  <c r="T9"/>
  <c r="T9" i="1"/>
  <c r="B29"/>
  <c r="T8" s="1"/>
  <c r="J31"/>
  <c r="H37"/>
  <c r="U22" i="4"/>
  <c r="U17"/>
  <c r="U14"/>
  <c r="U12" s="1"/>
  <c r="U27"/>
  <c r="U24"/>
  <c r="M28"/>
  <c r="N28" s="1"/>
  <c r="N29" s="1"/>
  <c r="N31" s="1"/>
  <c r="I28"/>
  <c r="J28" s="1"/>
  <c r="J29" s="1"/>
  <c r="J31" s="1"/>
  <c r="F29"/>
  <c r="F31" s="1"/>
  <c r="E28" i="1"/>
  <c r="F28" s="1"/>
  <c r="U28" s="1"/>
  <c r="U14"/>
  <c r="U12" s="1"/>
  <c r="E8"/>
  <c r="O31" i="9" l="1"/>
  <c r="C31"/>
  <c r="C36"/>
  <c r="S34"/>
  <c r="X2"/>
  <c r="B1" s="1"/>
  <c r="C30"/>
  <c r="S31"/>
  <c r="K31"/>
  <c r="C33"/>
  <c r="G4"/>
  <c r="G9"/>
  <c r="H4"/>
  <c r="I4"/>
  <c r="D4"/>
  <c r="E4"/>
  <c r="C4"/>
  <c r="C9"/>
  <c r="O4"/>
  <c r="P4"/>
  <c r="Q4"/>
  <c r="O9"/>
  <c r="T37"/>
  <c r="X34" s="1"/>
  <c r="X35" s="1"/>
  <c r="AA10" i="7"/>
  <c r="AC10" s="1"/>
  <c r="AC11" s="1"/>
  <c r="AC12" s="1"/>
  <c r="AC13" s="1"/>
  <c r="AB13" s="1"/>
  <c r="T4"/>
  <c r="S4"/>
  <c r="U4"/>
  <c r="R29"/>
  <c r="I4"/>
  <c r="H4"/>
  <c r="G4"/>
  <c r="G9"/>
  <c r="D4"/>
  <c r="C4"/>
  <c r="E4"/>
  <c r="C9"/>
  <c r="R31" i="6"/>
  <c r="P37"/>
  <c r="T37" s="1"/>
  <c r="X34" s="1"/>
  <c r="X35" s="1"/>
  <c r="U28"/>
  <c r="U29" s="1"/>
  <c r="U31" s="1"/>
  <c r="L37"/>
  <c r="N31"/>
  <c r="I4"/>
  <c r="G4"/>
  <c r="H4"/>
  <c r="G9"/>
  <c r="W35" i="4"/>
  <c r="O4"/>
  <c r="P4"/>
  <c r="Q4"/>
  <c r="I4" i="1"/>
  <c r="H4"/>
  <c r="G4"/>
  <c r="G9"/>
  <c r="D4" i="4"/>
  <c r="C4"/>
  <c r="E4"/>
  <c r="H4"/>
  <c r="G4"/>
  <c r="I4"/>
  <c r="K4"/>
  <c r="L4"/>
  <c r="M4"/>
  <c r="U28"/>
  <c r="U29" s="1"/>
  <c r="F29" i="1"/>
  <c r="U29"/>
  <c r="U31" s="1"/>
  <c r="W35" i="9" l="1"/>
  <c r="S9"/>
  <c r="R31" i="7"/>
  <c r="P37"/>
  <c r="T37" s="1"/>
  <c r="X34" s="1"/>
  <c r="X35" s="1"/>
  <c r="W35" i="6"/>
  <c r="AA10"/>
  <c r="AC10" s="1"/>
  <c r="AC11" s="1"/>
  <c r="AC12" s="1"/>
  <c r="AC13" s="1"/>
  <c r="AB13" s="1"/>
  <c r="T4"/>
  <c r="S4"/>
  <c r="U4"/>
  <c r="K4"/>
  <c r="L4"/>
  <c r="M4"/>
  <c r="K9"/>
  <c r="O4"/>
  <c r="P4"/>
  <c r="Q4"/>
  <c r="O9"/>
  <c r="D37" i="1"/>
  <c r="T37" s="1"/>
  <c r="F31"/>
  <c r="S4"/>
  <c r="T4"/>
  <c r="U4"/>
  <c r="AA10"/>
  <c r="AC10" s="1"/>
  <c r="U31" i="4"/>
  <c r="O4" i="7" l="1"/>
  <c r="P4"/>
  <c r="Q4"/>
  <c r="O9"/>
  <c r="S9" s="1"/>
  <c r="W35"/>
  <c r="S9" i="6"/>
  <c r="C4" i="1"/>
  <c r="D4"/>
  <c r="E4"/>
  <c r="C9"/>
  <c r="S9" s="1"/>
  <c r="S4" i="4"/>
  <c r="T4"/>
  <c r="U4"/>
  <c r="X37" i="1"/>
  <c r="X38" s="1"/>
  <c r="X37" i="4" l="1"/>
  <c r="X38" s="1"/>
  <c r="X36" i="6" s="1"/>
  <c r="X37" s="1"/>
  <c r="X38" s="1"/>
  <c r="X36" i="7" s="1"/>
  <c r="X37" s="1"/>
  <c r="X38" s="1"/>
  <c r="X36" i="9" s="1"/>
  <c r="X37" s="1"/>
  <c r="X38" s="1"/>
</calcChain>
</file>

<file path=xl/sharedStrings.xml><?xml version="1.0" encoding="utf-8"?>
<sst xmlns="http://schemas.openxmlformats.org/spreadsheetml/2006/main" count="857" uniqueCount="105">
  <si>
    <t>Jan</t>
  </si>
  <si>
    <t>Feb</t>
  </si>
  <si>
    <t>Mar</t>
  </si>
  <si>
    <t>Apr</t>
  </si>
  <si>
    <t>Maj</t>
  </si>
  <si>
    <t>Jun</t>
  </si>
  <si>
    <t>Jul</t>
  </si>
  <si>
    <t>Aug</t>
  </si>
  <si>
    <t>Sep</t>
  </si>
  <si>
    <t>Okt</t>
  </si>
  <si>
    <t>Nov</t>
  </si>
  <si>
    <t>Dec</t>
  </si>
  <si>
    <t>Min</t>
  </si>
  <si>
    <t>Max</t>
  </si>
  <si>
    <t>Forbrug i kWh</t>
  </si>
  <si>
    <t>Ren EL pris per kWh</t>
  </si>
  <si>
    <t>Transport betaling</t>
  </si>
  <si>
    <t>Transport betaling Rabat</t>
  </si>
  <si>
    <t>Abon. Net selskab</t>
  </si>
  <si>
    <t>Abon. Net selskab Rabat</t>
  </si>
  <si>
    <t>Forbrug 2. Kvartal</t>
  </si>
  <si>
    <t>kWh</t>
  </si>
  <si>
    <t>Abonnement &amp; EL aftale</t>
  </si>
  <si>
    <t>Energinet: For transmission af EL</t>
  </si>
  <si>
    <t>Balance Tarif for forbrug</t>
  </si>
  <si>
    <t>Trans. Betaling Nettarif</t>
  </si>
  <si>
    <t>Trans. Betaling Systemtarif</t>
  </si>
  <si>
    <t>Skatter &amp; Afgifter</t>
  </si>
  <si>
    <t>PSO afgift</t>
  </si>
  <si>
    <t>Elafgift</t>
  </si>
  <si>
    <t>Moms</t>
  </si>
  <si>
    <t>Abonnement aftale</t>
  </si>
  <si>
    <t>Priser på EL incl. afgifter i 2. kvartal</t>
  </si>
  <si>
    <t>Priser på EL incl. afgifter i 2022</t>
  </si>
  <si>
    <t>Priser på EL incl. afgifter i 1. kvartal</t>
  </si>
  <si>
    <t>Priser på EL incl. afgifter i 3. kvartal</t>
  </si>
  <si>
    <t>Priser på EL incl. afgifter i 4. kvartal</t>
  </si>
  <si>
    <t>Forbrug 1. Kvartal</t>
  </si>
  <si>
    <t>Forbrug 3. Kvartal</t>
  </si>
  <si>
    <t>Forbrug 4. Kvartal</t>
  </si>
  <si>
    <t>Moms af:</t>
  </si>
  <si>
    <t>Beregnet forbrug:</t>
  </si>
  <si>
    <t>Reelt forbrug:</t>
  </si>
  <si>
    <t>Gennemsnit Dansker bruger:</t>
  </si>
  <si>
    <t>kWh per år</t>
  </si>
  <si>
    <t>snit pris</t>
  </si>
  <si>
    <t>per kWh</t>
  </si>
  <si>
    <t>per år per person</t>
  </si>
  <si>
    <t xml:space="preserve"> kWh</t>
  </si>
  <si>
    <t>1. kvartal</t>
  </si>
  <si>
    <t>2. kvartal</t>
  </si>
  <si>
    <t>3. kvartal</t>
  </si>
  <si>
    <t>4. kvartal</t>
  </si>
  <si>
    <t>2021 forbrug i kWh</t>
  </si>
  <si>
    <t>Ren snit EL pris per kWh</t>
  </si>
  <si>
    <t>AVG</t>
  </si>
  <si>
    <t>Betalingsservice</t>
  </si>
  <si>
    <t>Difference</t>
  </si>
  <si>
    <t>Norlys Energi A/S</t>
  </si>
  <si>
    <t>Skønnet forbrug</t>
  </si>
  <si>
    <t>Regulering</t>
  </si>
  <si>
    <t>Forbrug per kvartal</t>
  </si>
  <si>
    <t>Mand &amp; Kone (skriv her antal personer)</t>
  </si>
  <si>
    <t>Pris i DKK</t>
  </si>
  <si>
    <t>Velkommen til "Mit EL Forbrug" beregnings program.</t>
  </si>
  <si>
    <t>walter</t>
  </si>
  <si>
    <t>Reg. No. 1410</t>
  </si>
  <si>
    <t>Regnearket er beskyttet med et Password, så du ikke får slettet noget af vanvare eller uforsigtighed. Det er kun i de gule celler, man kan og SKAL indtaste sine egne værdier. Du finder værdierne på din faktura.</t>
  </si>
  <si>
    <t xml:space="preserve">1. januar til den 31. december </t>
  </si>
  <si>
    <t>Bolig EL Pris - Grøn strøm</t>
  </si>
  <si>
    <t xml:space="preserve">personer bruger ca. </t>
  </si>
  <si>
    <t>DKK per år</t>
  </si>
  <si>
    <t xml:space="preserve">person bruger ca. </t>
  </si>
  <si>
    <t>EL prisen på 2,40 kr. er fra før 2022. Man kan følge prisstigningen de næste år.</t>
  </si>
  <si>
    <t>Skriv ovenfor antal personer i husholdningen</t>
  </si>
  <si>
    <t>1 person i husholdningen bruger mere eller mindre end "Gennemsnittet Dansker" bruger:</t>
  </si>
  <si>
    <t>Hvert kvartal opgør "EL Selskabet" dit reelle forbrug, disse værdier indsættes i de gule celler. Så start med log på dit EL Selskab og find "Privatkunder" og rubrikken for "EL". Her findes "Regninger" og "Forbrug".</t>
  </si>
  <si>
    <t>På "Forbrug" finder du data for de år, som du har været kunde i selskabet. Tast det år du vil undersøge, så kommer der et søjle diagram frem med månederne for året. Hold markøren over en måned og aflæs</t>
  </si>
  <si>
    <t>Skriv dit EL Selskab i det gule felt:</t>
  </si>
  <si>
    <t>Skriv din adresse i det gule felt:</t>
  </si>
  <si>
    <t>På "Regninger" findes en "Opgørelse" over forbruget på et kvartal. Mit selskab sender 1. kvartals opgørelse ud i begyndelsen af maj. Her ses alle de værdier, som skal indsættes i de gule felter. Desuden findes</t>
  </si>
  <si>
    <t>"Skønnet forbrug". Det indikerer, om man skal have penge tilbage eller betale penge næste kvartal. En 0 værdi i cellerne ud for "Difference" viser, at man har ramt plet.</t>
  </si>
  <si>
    <t>også et "Forventet forbrug for næste kvartal i kWh". Her vises 657 kWh, som indsættes i det gule felt på ark 2022 under Apr. "Skønnet forbrug". Man kan følge med i, om ens forbrug er over eller under</t>
  </si>
  <si>
    <r>
      <t xml:space="preserve">forbruget. Et eksempel for 2022 januar måned viser 191,22 kWh. Forbruget indtastes i det gule felt på ark 2022 under Jan. </t>
    </r>
    <r>
      <rPr>
        <sz val="16"/>
        <color rgb="FFFF0000"/>
        <rFont val="Calibri"/>
        <family val="2"/>
        <scheme val="minor"/>
      </rPr>
      <t>Forbrug i kWh</t>
    </r>
    <r>
      <rPr>
        <sz val="16"/>
        <rFont val="Calibri"/>
        <family val="2"/>
        <scheme val="minor"/>
      </rPr>
      <t>. Indtast værdierne for hele året og medtag alle decimaler.  Disse ses</t>
    </r>
  </si>
  <si>
    <t>Overført til næste år</t>
  </si>
  <si>
    <t>Overført fra året før</t>
  </si>
  <si>
    <t>Saldo</t>
  </si>
  <si>
    <t>Har man tilmeldt sig "Betalingsservice", kan man indsætte beløbet i de gule felter og når året er omme aflæses i feltet X35, om man har betalt for lidt eller for meget.</t>
  </si>
  <si>
    <r>
      <t>Overført fra året før (</t>
    </r>
    <r>
      <rPr>
        <sz val="14"/>
        <color rgb="FFFF0000"/>
        <rFont val="Calibri"/>
        <family val="2"/>
        <scheme val="minor"/>
      </rPr>
      <t>husk at rette til året før</t>
    </r>
    <r>
      <rPr>
        <sz val="14"/>
        <color theme="1"/>
        <rFont val="Calibri"/>
        <family val="2"/>
        <scheme val="minor"/>
      </rPr>
      <t>)</t>
    </r>
  </si>
  <si>
    <t>Røde tal i udregningen er negativ</t>
  </si>
  <si>
    <t>Alle negative værdier er med røde tal. Der er lavet regneark fra 2021 til og med 2025. Vil man selv kopier og lave nye ark for 2026 og frem, skal man huske følgende:</t>
  </si>
  <si>
    <t>1. På ark 2021 i celle B3 står der 2021. På ark 2022 i celle B3 står der '2021'!B3+1. PÅ ark 2023 i celle B3 står der '2021'!B3+2. Og så fremdeles. Husk at rette for efterfølgende regneark med at forhøje med 1.</t>
  </si>
  <si>
    <t>God fornøjelse med programmet</t>
  </si>
  <si>
    <t>2 personer bruger mindre end 2 * 1600 kWh per år, da der er mange af de samme apparater i brug, hvad enten man er 1 eller 2 personer</t>
  </si>
  <si>
    <t>Jeg vil lige komme med en information vedrørende EL priser. Du kan få en "Fast elpris" eller en "Variabel elpris" aftale. Der er fordele og ulemper ved begge aftaler, men søg selv på nettet og find dit eget behov.</t>
  </si>
  <si>
    <t>Password kan fås ved at sende mig en e-mail. Kontakt mig via min Gæstebog. Skulle du finde fejl og mangler i programmet, tøv ikke med at kontakte mig via min Gæstebog.</t>
  </si>
  <si>
    <t xml:space="preserve">www.walter-lystfisker.dk </t>
  </si>
  <si>
    <t>COPYRIGHT © 2014</t>
  </si>
  <si>
    <r>
      <t xml:space="preserve">Udarbejdet af Jørgen Walter </t>
    </r>
    <r>
      <rPr>
        <b/>
        <sz val="16"/>
        <color indexed="8"/>
        <rFont val="Calibri"/>
        <family val="2"/>
      </rPr>
      <t>©</t>
    </r>
  </si>
  <si>
    <t>"Mit EL Forbrug" beregnings program er udviklet efter "Fast elpris" aftale med mit energi selskab. Om det også egner sig til en "Variabel elpris" aftale er ikke afprøvet. Får jeg en mulighed, vil det blive afprøvet.</t>
  </si>
  <si>
    <t>Storegade 6, 2. sal, th.</t>
  </si>
  <si>
    <t>2. På alle ark i celle X36 er et beløb overført fra året før - dog ikke i 2021 - her skal man huske at rette bagud. På ark 2022 står der '2021'!X38. På ark 2023 står der '2022'!X38. Og så fremdeles.</t>
  </si>
  <si>
    <t>da det er muligt for mig at få de nødvendige data fra dem. Har du et andet selskab, kan du sikkert også få data fra dem. Gå ind på dit selskabs hjemmeside og søg efter data.</t>
  </si>
  <si>
    <t>Jeg har taget udgangspunkt i mit eget EL Selskab "Norlys Energi A/S",</t>
  </si>
  <si>
    <t>dog ikke, men er vigtige for nøjagtigheden af resultatet på årsbasis. Decimalerne vises ikke regnearket fordi de vil fylde for meget på diagrammerne, som ses nedenunder.</t>
  </si>
</sst>
</file>

<file path=xl/styles.xml><?xml version="1.0" encoding="utf-8"?>
<styleSheet xmlns="http://schemas.openxmlformats.org/spreadsheetml/2006/main">
  <numFmts count="12">
    <numFmt numFmtId="6" formatCode="&quot;kr.&quot;\ #,##0;[Red]&quot;kr.&quot;\ \-#,##0"/>
    <numFmt numFmtId="8" formatCode="&quot;kr.&quot;\ #,##0.00;[Red]&quot;kr.&quot;\ \-#,##0.00"/>
    <numFmt numFmtId="44" formatCode="_ &quot;kr.&quot;\ * #,##0.00_ ;_ &quot;kr.&quot;\ * \-#,##0.00_ ;_ &quot;kr.&quot;\ * &quot;-&quot;??_ ;_ @_ "/>
    <numFmt numFmtId="164" formatCode="_ &quot;kr.&quot;\ * #,##0_ ;_ &quot;kr.&quot;\ * \-#,##0_ ;_ &quot;kr.&quot;\ * &quot;-&quot;??_ ;_ @_ "/>
    <numFmt numFmtId="165" formatCode="_ &quot;kr.&quot;\ * #,##0.0000_ ;_ &quot;kr.&quot;\ * \-#,##0.0000_ ;_ &quot;kr.&quot;\ * &quot;-&quot;??_ ;_ @_ "/>
    <numFmt numFmtId="166" formatCode="&quot;kr.&quot;\ #,##0"/>
    <numFmt numFmtId="167" formatCode="&quot;kr.&quot;\ #,##0.00"/>
    <numFmt numFmtId="168" formatCode="&quot;kr.&quot;\ #,##0.00000"/>
    <numFmt numFmtId="169" formatCode="_ &quot;kr.&quot;\ * #,##0.00000_ ;_ &quot;kr.&quot;\ * \-#,##0.00000_ ;_ &quot;kr.&quot;\ * &quot;-&quot;??_ ;_ @_ "/>
    <numFmt numFmtId="170" formatCode="0_ ;[Red]\-0\ "/>
    <numFmt numFmtId="171" formatCode="&quot;kr.&quot;\ #,##0.00000;[Red]&quot;kr.&quot;\ \-#,##0.00000"/>
    <numFmt numFmtId="172" formatCode="_ * #,##0.000_ ;_ * \-#,##0.000_ ;_ * &quot;-&quot;???_ ;_ @_ "/>
  </numFmts>
  <fonts count="20">
    <font>
      <sz val="11"/>
      <color theme="1"/>
      <name val="Calibri"/>
      <family val="2"/>
      <scheme val="minor"/>
    </font>
    <font>
      <sz val="11"/>
      <color theme="1"/>
      <name val="Calibri"/>
      <family val="2"/>
      <scheme val="minor"/>
    </font>
    <font>
      <sz val="14"/>
      <color theme="1"/>
      <name val="Calibri"/>
      <family val="2"/>
      <scheme val="minor"/>
    </font>
    <font>
      <sz val="14"/>
      <color rgb="FFFF0000"/>
      <name val="Calibri"/>
      <family val="2"/>
      <scheme val="minor"/>
    </font>
    <font>
      <b/>
      <sz val="14"/>
      <color theme="1"/>
      <name val="Calibri"/>
      <family val="2"/>
      <scheme val="minor"/>
    </font>
    <font>
      <sz val="14"/>
      <color rgb="FF0070C0"/>
      <name val="Calibri"/>
      <family val="2"/>
      <scheme val="minor"/>
    </font>
    <font>
      <sz val="14"/>
      <color rgb="FF00B050"/>
      <name val="Calibri"/>
      <family val="2"/>
      <scheme val="minor"/>
    </font>
    <font>
      <b/>
      <sz val="16"/>
      <color theme="1"/>
      <name val="Calibri"/>
      <family val="2"/>
      <scheme val="minor"/>
    </font>
    <font>
      <sz val="14"/>
      <name val="Calibri"/>
      <family val="2"/>
      <scheme val="minor"/>
    </font>
    <font>
      <b/>
      <sz val="16"/>
      <name val="Calibri"/>
      <family val="2"/>
      <scheme val="minor"/>
    </font>
    <font>
      <sz val="16"/>
      <color theme="1"/>
      <name val="Calibri"/>
      <family val="2"/>
      <scheme val="minor"/>
    </font>
    <font>
      <b/>
      <sz val="20"/>
      <color theme="1"/>
      <name val="Calibri"/>
      <family val="2"/>
      <scheme val="minor"/>
    </font>
    <font>
      <u/>
      <sz val="16"/>
      <color theme="1"/>
      <name val="Calibri"/>
      <family val="2"/>
      <scheme val="minor"/>
    </font>
    <font>
      <sz val="16"/>
      <color rgb="FFFF0000"/>
      <name val="Calibri"/>
      <family val="2"/>
      <scheme val="minor"/>
    </font>
    <font>
      <sz val="16"/>
      <name val="Calibri"/>
      <family val="2"/>
      <scheme val="minor"/>
    </font>
    <font>
      <b/>
      <sz val="20"/>
      <name val="Calibri"/>
      <family val="2"/>
      <scheme val="minor"/>
    </font>
    <font>
      <u/>
      <sz val="10"/>
      <color theme="10"/>
      <name val="Arial"/>
      <family val="2"/>
    </font>
    <font>
      <b/>
      <sz val="16"/>
      <color indexed="8"/>
      <name val="Calibri"/>
      <family val="2"/>
    </font>
    <font>
      <u/>
      <sz val="16"/>
      <color theme="10"/>
      <name val="Calibri"/>
      <family val="2"/>
    </font>
    <font>
      <b/>
      <sz val="16"/>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228">
    <xf numFmtId="0" fontId="0" fillId="0" borderId="0" xfId="0"/>
    <xf numFmtId="0" fontId="2" fillId="0" borderId="0" xfId="0" applyFont="1"/>
    <xf numFmtId="0" fontId="3" fillId="0" borderId="0" xfId="0" applyFont="1"/>
    <xf numFmtId="0" fontId="2" fillId="0" borderId="5" xfId="0" applyFont="1" applyBorder="1" applyAlignment="1">
      <alignment horizontal="center"/>
    </xf>
    <xf numFmtId="0" fontId="2" fillId="0" borderId="0" xfId="0" applyFont="1" applyAlignment="1">
      <alignment horizontal="center"/>
    </xf>
    <xf numFmtId="0" fontId="2" fillId="0" borderId="26" xfId="0" applyFont="1" applyBorder="1" applyAlignment="1">
      <alignment horizontal="center"/>
    </xf>
    <xf numFmtId="0" fontId="4" fillId="0" borderId="2" xfId="0" applyFont="1" applyBorder="1" applyAlignment="1">
      <alignment horizontal="center"/>
    </xf>
    <xf numFmtId="44" fontId="2" fillId="0" borderId="32" xfId="1" applyFont="1" applyBorder="1" applyAlignment="1">
      <alignment horizontal="center"/>
    </xf>
    <xf numFmtId="0" fontId="2" fillId="0" borderId="13" xfId="0" applyFont="1" applyBorder="1" applyAlignment="1">
      <alignment horizontal="center"/>
    </xf>
    <xf numFmtId="1" fontId="2" fillId="0" borderId="41" xfId="1" applyNumberFormat="1" applyFont="1" applyBorder="1" applyAlignment="1">
      <alignment horizontal="center"/>
    </xf>
    <xf numFmtId="165" fontId="2" fillId="0" borderId="3" xfId="1" applyNumberFormat="1" applyFont="1" applyBorder="1"/>
    <xf numFmtId="44" fontId="2" fillId="0" borderId="0" xfId="0" applyNumberFormat="1" applyFont="1"/>
    <xf numFmtId="1" fontId="2" fillId="0" borderId="12" xfId="0" applyNumberFormat="1" applyFont="1" applyBorder="1" applyAlignment="1">
      <alignment horizontal="center"/>
    </xf>
    <xf numFmtId="1" fontId="2" fillId="0" borderId="0" xfId="0" applyNumberFormat="1" applyFont="1" applyAlignment="1">
      <alignment horizontal="center"/>
    </xf>
    <xf numFmtId="0" fontId="4" fillId="0" borderId="15" xfId="0" applyFont="1" applyBorder="1" applyAlignment="1">
      <alignment horizontal="center"/>
    </xf>
    <xf numFmtId="44" fontId="4" fillId="0" borderId="37" xfId="0" applyNumberFormat="1" applyFont="1" applyBorder="1"/>
    <xf numFmtId="0" fontId="4" fillId="0" borderId="11" xfId="0" applyFont="1" applyBorder="1" applyAlignment="1">
      <alignment horizontal="center"/>
    </xf>
    <xf numFmtId="1" fontId="2" fillId="0" borderId="3" xfId="0" applyNumberFormat="1"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1" fontId="2" fillId="0" borderId="9" xfId="0" applyNumberFormat="1" applyFont="1" applyBorder="1" applyAlignment="1">
      <alignment horizontal="center"/>
    </xf>
    <xf numFmtId="2" fontId="2" fillId="0" borderId="16" xfId="0" applyNumberFormat="1" applyFont="1" applyBorder="1" applyAlignment="1">
      <alignment horizontal="center"/>
    </xf>
    <xf numFmtId="2" fontId="2" fillId="0" borderId="20" xfId="0" applyNumberFormat="1" applyFont="1" applyBorder="1" applyAlignment="1">
      <alignment horizontal="center"/>
    </xf>
    <xf numFmtId="165" fontId="2" fillId="0" borderId="19" xfId="0" applyNumberFormat="1"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4" fillId="0" borderId="11" xfId="0" applyFont="1" applyBorder="1" applyAlignment="1">
      <alignment horizontal="center"/>
    </xf>
    <xf numFmtId="1" fontId="2" fillId="0" borderId="9" xfId="0" applyNumberFormat="1" applyFont="1" applyBorder="1" applyAlignment="1">
      <alignment horizontal="center"/>
    </xf>
    <xf numFmtId="0" fontId="2" fillId="0" borderId="1" xfId="0" applyFont="1" applyBorder="1" applyAlignment="1">
      <alignment horizontal="center"/>
    </xf>
    <xf numFmtId="1" fontId="2" fillId="0" borderId="32" xfId="0" applyNumberFormat="1" applyFont="1" applyBorder="1" applyAlignment="1">
      <alignment horizontal="center"/>
    </xf>
    <xf numFmtId="1" fontId="2" fillId="0" borderId="10" xfId="0" applyNumberFormat="1" applyFont="1" applyBorder="1" applyAlignment="1">
      <alignment horizontal="center"/>
    </xf>
    <xf numFmtId="1" fontId="2" fillId="0" borderId="11" xfId="0" applyNumberFormat="1" applyFont="1" applyBorder="1" applyAlignment="1">
      <alignment horizontal="center"/>
    </xf>
    <xf numFmtId="0" fontId="2" fillId="0" borderId="0" xfId="0" applyFont="1" applyBorder="1"/>
    <xf numFmtId="0" fontId="2" fillId="0" borderId="0" xfId="0" applyFont="1" applyAlignment="1"/>
    <xf numFmtId="0" fontId="2" fillId="0" borderId="0" xfId="0" applyFont="1" applyBorder="1" applyAlignment="1">
      <alignment horizontal="center"/>
    </xf>
    <xf numFmtId="0" fontId="2" fillId="0" borderId="20" xfId="0" applyFont="1" applyBorder="1"/>
    <xf numFmtId="44" fontId="2" fillId="0" borderId="48" xfId="0" applyNumberFormat="1" applyFont="1" applyBorder="1"/>
    <xf numFmtId="6" fontId="2" fillId="0" borderId="10" xfId="1" applyNumberFormat="1" applyFont="1" applyBorder="1" applyAlignment="1">
      <alignment horizontal="center"/>
    </xf>
    <xf numFmtId="0" fontId="2" fillId="0" borderId="0" xfId="0" applyFont="1" applyBorder="1" applyAlignment="1"/>
    <xf numFmtId="166" fontId="2" fillId="0" borderId="9" xfId="0" applyNumberFormat="1" applyFont="1" applyBorder="1" applyAlignment="1">
      <alignment horizontal="center"/>
    </xf>
    <xf numFmtId="166" fontId="2" fillId="0" borderId="10" xfId="0" applyNumberFormat="1" applyFont="1" applyBorder="1" applyAlignment="1">
      <alignment horizontal="center"/>
    </xf>
    <xf numFmtId="166" fontId="2" fillId="0" borderId="11" xfId="0" applyNumberFormat="1" applyFont="1" applyBorder="1" applyAlignment="1">
      <alignment horizontal="center"/>
    </xf>
    <xf numFmtId="166" fontId="2" fillId="0" borderId="12" xfId="0" applyNumberFormat="1" applyFont="1" applyBorder="1" applyAlignment="1">
      <alignment horizontal="center"/>
    </xf>
    <xf numFmtId="0" fontId="4" fillId="0" borderId="0" xfId="0" applyFont="1" applyBorder="1" applyAlignment="1"/>
    <xf numFmtId="164" fontId="2" fillId="0" borderId="0" xfId="0" applyNumberFormat="1" applyFont="1" applyBorder="1"/>
    <xf numFmtId="167" fontId="2" fillId="0" borderId="42" xfId="1" applyNumberFormat="1" applyFont="1" applyBorder="1" applyAlignment="1">
      <alignment horizontal="center"/>
    </xf>
    <xf numFmtId="167" fontId="2" fillId="0" borderId="12" xfId="1" applyNumberFormat="1" applyFont="1" applyBorder="1" applyAlignment="1">
      <alignment horizontal="center"/>
    </xf>
    <xf numFmtId="167" fontId="2" fillId="0" borderId="42" xfId="1" applyNumberFormat="1" applyFont="1" applyBorder="1"/>
    <xf numFmtId="167" fontId="2" fillId="0" borderId="3" xfId="1" applyNumberFormat="1" applyFont="1" applyBorder="1"/>
    <xf numFmtId="167" fontId="4" fillId="0" borderId="28" xfId="1" applyNumberFormat="1" applyFont="1" applyBorder="1"/>
    <xf numFmtId="167" fontId="2" fillId="0" borderId="0" xfId="0" applyNumberFormat="1" applyFont="1"/>
    <xf numFmtId="167" fontId="4" fillId="0" borderId="37" xfId="0" applyNumberFormat="1" applyFont="1" applyBorder="1"/>
    <xf numFmtId="167" fontId="4" fillId="0" borderId="37" xfId="1" applyNumberFormat="1" applyFont="1" applyBorder="1" applyAlignment="1"/>
    <xf numFmtId="0" fontId="6" fillId="0" borderId="20" xfId="0" applyFont="1" applyBorder="1"/>
    <xf numFmtId="0" fontId="3" fillId="0" borderId="20" xfId="0" applyFont="1" applyBorder="1" applyAlignment="1">
      <alignment horizontal="left"/>
    </xf>
    <xf numFmtId="166" fontId="2" fillId="0" borderId="46" xfId="0" applyNumberFormat="1" applyFont="1" applyBorder="1" applyAlignment="1">
      <alignment horizontal="center"/>
    </xf>
    <xf numFmtId="166" fontId="2" fillId="0" borderId="1" xfId="0" applyNumberFormat="1" applyFont="1" applyBorder="1" applyAlignment="1">
      <alignment horizontal="center"/>
    </xf>
    <xf numFmtId="166" fontId="2" fillId="0" borderId="31" xfId="0" applyNumberFormat="1" applyFont="1" applyBorder="1" applyAlignment="1">
      <alignment horizontal="center"/>
    </xf>
    <xf numFmtId="166" fontId="2" fillId="0" borderId="44" xfId="0" applyNumberFormat="1" applyFont="1" applyBorder="1" applyAlignment="1">
      <alignment horizontal="center"/>
    </xf>
    <xf numFmtId="166" fontId="2" fillId="0" borderId="2" xfId="0" applyNumberFormat="1" applyFont="1" applyBorder="1" applyAlignment="1">
      <alignment horizontal="center"/>
    </xf>
    <xf numFmtId="166" fontId="2" fillId="0" borderId="45" xfId="0" applyNumberFormat="1" applyFont="1" applyBorder="1" applyAlignment="1">
      <alignment horizontal="center"/>
    </xf>
    <xf numFmtId="167" fontId="2" fillId="0" borderId="11" xfId="1" applyNumberFormat="1" applyFont="1" applyBorder="1" applyAlignment="1">
      <alignment horizontal="center"/>
    </xf>
    <xf numFmtId="166" fontId="2" fillId="0" borderId="8" xfId="0" applyNumberFormat="1" applyFont="1" applyBorder="1" applyAlignment="1">
      <alignment horizontal="center"/>
    </xf>
    <xf numFmtId="0" fontId="2" fillId="0" borderId="0" xfId="0" applyFont="1" applyFill="1"/>
    <xf numFmtId="167" fontId="4" fillId="0" borderId="37" xfId="1" applyNumberFormat="1" applyFont="1" applyBorder="1" applyAlignment="1">
      <alignment horizontal="center"/>
    </xf>
    <xf numFmtId="167" fontId="4" fillId="0" borderId="28" xfId="1" applyNumberFormat="1" applyFont="1" applyBorder="1" applyAlignment="1">
      <alignment horizontal="center"/>
    </xf>
    <xf numFmtId="168" fontId="2" fillId="0" borderId="19" xfId="0" applyNumberFormat="1" applyFont="1" applyBorder="1" applyAlignment="1">
      <alignment horizontal="center"/>
    </xf>
    <xf numFmtId="166" fontId="2" fillId="0" borderId="51" xfId="0" applyNumberFormat="1" applyFont="1" applyFill="1" applyBorder="1" applyAlignment="1">
      <alignment horizontal="center"/>
    </xf>
    <xf numFmtId="167" fontId="2" fillId="0" borderId="52" xfId="1" applyNumberFormat="1" applyFont="1" applyFill="1" applyBorder="1" applyAlignment="1">
      <alignment horizontal="center"/>
    </xf>
    <xf numFmtId="166" fontId="2" fillId="0" borderId="52" xfId="0" applyNumberFormat="1" applyFont="1" applyFill="1" applyBorder="1" applyAlignment="1">
      <alignment horizontal="center"/>
    </xf>
    <xf numFmtId="166" fontId="2" fillId="0" borderId="28" xfId="0" applyNumberFormat="1" applyFont="1" applyFill="1" applyBorder="1" applyAlignment="1">
      <alignment horizontal="center"/>
    </xf>
    <xf numFmtId="0" fontId="2" fillId="0" borderId="0" xfId="0" applyFont="1" applyAlignment="1">
      <alignment horizontal="left"/>
    </xf>
    <xf numFmtId="167" fontId="2" fillId="0" borderId="0" xfId="0" applyNumberFormat="1" applyFont="1" applyFill="1" applyBorder="1"/>
    <xf numFmtId="167" fontId="2" fillId="0" borderId="0" xfId="1" applyNumberFormat="1" applyFont="1" applyFill="1" applyBorder="1"/>
    <xf numFmtId="0" fontId="7" fillId="0" borderId="0" xfId="0" applyFont="1" applyFill="1" applyBorder="1" applyAlignment="1"/>
    <xf numFmtId="0" fontId="2" fillId="0" borderId="0" xfId="0" applyFont="1" applyFill="1" applyBorder="1" applyAlignment="1"/>
    <xf numFmtId="170" fontId="2" fillId="0" borderId="14" xfId="0" applyNumberFormat="1"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4" fillId="0" borderId="1" xfId="0" applyFont="1" applyBorder="1" applyAlignment="1">
      <alignment horizontal="center"/>
    </xf>
    <xf numFmtId="0" fontId="2" fillId="0" borderId="0" xfId="0" applyFont="1" applyAlignment="1">
      <alignment horizontal="left"/>
    </xf>
    <xf numFmtId="0" fontId="4" fillId="0" borderId="11" xfId="0" applyFont="1" applyBorder="1" applyAlignment="1">
      <alignment horizontal="center"/>
    </xf>
    <xf numFmtId="1" fontId="2" fillId="0" borderId="3" xfId="0" applyNumberFormat="1" applyFont="1" applyBorder="1" applyAlignment="1">
      <alignment horizontal="center"/>
    </xf>
    <xf numFmtId="1" fontId="2" fillId="0" borderId="9" xfId="0" applyNumberFormat="1" applyFont="1" applyBorder="1" applyAlignment="1">
      <alignment horizontal="center"/>
    </xf>
    <xf numFmtId="0" fontId="2" fillId="0" borderId="1" xfId="0" applyFont="1" applyBorder="1" applyAlignment="1">
      <alignment horizontal="center"/>
    </xf>
    <xf numFmtId="0" fontId="10" fillId="0" borderId="0" xfId="0" applyFont="1"/>
    <xf numFmtId="0" fontId="10" fillId="3" borderId="0" xfId="0" applyFont="1" applyFill="1"/>
    <xf numFmtId="0" fontId="10" fillId="4" borderId="0" xfId="0" applyFont="1" applyFill="1"/>
    <xf numFmtId="0" fontId="12" fillId="4" borderId="0" xfId="0" applyFont="1" applyFill="1"/>
    <xf numFmtId="0" fontId="2" fillId="0" borderId="0" xfId="0" applyFont="1" applyFill="1" applyBorder="1" applyAlignment="1">
      <alignment vertical="center"/>
    </xf>
    <xf numFmtId="0" fontId="2" fillId="0" borderId="31" xfId="0" applyFont="1" applyBorder="1" applyAlignment="1">
      <alignment horizontal="center"/>
    </xf>
    <xf numFmtId="0" fontId="2" fillId="0" borderId="24" xfId="0" applyFont="1" applyBorder="1" applyAlignment="1">
      <alignment horizontal="center"/>
    </xf>
    <xf numFmtId="0" fontId="2" fillId="0" borderId="44" xfId="0" applyFont="1" applyBorder="1" applyAlignment="1">
      <alignment horizontal="center"/>
    </xf>
    <xf numFmtId="0" fontId="2" fillId="0" borderId="32" xfId="0" applyFont="1" applyBorder="1" applyAlignment="1">
      <alignment horizontal="center"/>
    </xf>
    <xf numFmtId="2" fontId="2" fillId="0" borderId="8" xfId="0" applyNumberFormat="1" applyFont="1" applyBorder="1" applyAlignment="1">
      <alignment horizontal="center"/>
    </xf>
    <xf numFmtId="8" fontId="5" fillId="0" borderId="32" xfId="1" applyNumberFormat="1" applyFont="1" applyBorder="1"/>
    <xf numFmtId="8" fontId="2" fillId="0" borderId="42" xfId="1" applyNumberFormat="1" applyFont="1" applyBorder="1"/>
    <xf numFmtId="8" fontId="2" fillId="0" borderId="9" xfId="1" applyNumberFormat="1" applyFont="1" applyBorder="1"/>
    <xf numFmtId="8" fontId="8" fillId="0" borderId="32" xfId="1" applyNumberFormat="1" applyFont="1" applyBorder="1"/>
    <xf numFmtId="170" fontId="4" fillId="0" borderId="8" xfId="0" applyNumberFormat="1" applyFont="1" applyBorder="1" applyAlignment="1">
      <alignment horizontal="center"/>
    </xf>
    <xf numFmtId="170" fontId="4" fillId="0" borderId="4" xfId="0" applyNumberFormat="1" applyFont="1" applyBorder="1" applyAlignment="1">
      <alignment horizontal="center"/>
    </xf>
    <xf numFmtId="170" fontId="4" fillId="0" borderId="10" xfId="0" applyNumberFormat="1" applyFont="1" applyBorder="1" applyAlignment="1">
      <alignment horizontal="center"/>
    </xf>
    <xf numFmtId="170" fontId="4" fillId="0" borderId="11" xfId="0" applyNumberFormat="1" applyFont="1" applyBorder="1" applyAlignment="1">
      <alignment horizontal="center"/>
    </xf>
    <xf numFmtId="170" fontId="4" fillId="0" borderId="21" xfId="0" applyNumberFormat="1" applyFont="1" applyBorder="1" applyAlignment="1">
      <alignment horizontal="center"/>
    </xf>
    <xf numFmtId="8" fontId="2" fillId="0" borderId="32" xfId="1" applyNumberFormat="1" applyFont="1" applyBorder="1"/>
    <xf numFmtId="8" fontId="2" fillId="0" borderId="42" xfId="0" applyNumberFormat="1" applyFont="1" applyBorder="1"/>
    <xf numFmtId="8" fontId="2" fillId="0" borderId="42" xfId="1" applyNumberFormat="1" applyFont="1" applyBorder="1" applyAlignment="1">
      <alignment horizontal="center"/>
    </xf>
    <xf numFmtId="0" fontId="2" fillId="0" borderId="47" xfId="0" applyFont="1" applyFill="1" applyBorder="1" applyAlignment="1">
      <alignment horizontal="center"/>
    </xf>
    <xf numFmtId="0" fontId="2" fillId="0" borderId="0" xfId="0" applyFont="1" applyAlignment="1">
      <alignment horizontal="center"/>
    </xf>
    <xf numFmtId="166" fontId="2" fillId="0" borderId="0" xfId="1" applyNumberFormat="1" applyFont="1" applyAlignment="1">
      <alignment horizontal="center"/>
    </xf>
    <xf numFmtId="166" fontId="2" fillId="0" borderId="0" xfId="0" applyNumberFormat="1" applyFont="1" applyAlignment="1">
      <alignment horizontal="center"/>
    </xf>
    <xf numFmtId="0" fontId="4" fillId="0" borderId="55" xfId="0" applyFont="1" applyBorder="1" applyAlignment="1"/>
    <xf numFmtId="0" fontId="2" fillId="0" borderId="55" xfId="0" applyFont="1" applyBorder="1"/>
    <xf numFmtId="0" fontId="2" fillId="0" borderId="55" xfId="0" applyFont="1" applyBorder="1" applyAlignment="1"/>
    <xf numFmtId="6" fontId="2" fillId="0" borderId="55" xfId="0" applyNumberFormat="1" applyFont="1" applyBorder="1" applyAlignment="1">
      <alignment horizontal="center"/>
    </xf>
    <xf numFmtId="0" fontId="4" fillId="0" borderId="55" xfId="0" applyFont="1" applyBorder="1" applyAlignment="1">
      <alignment horizontal="center"/>
    </xf>
    <xf numFmtId="0" fontId="2" fillId="0" borderId="1" xfId="0" applyFont="1" applyBorder="1" applyAlignment="1"/>
    <xf numFmtId="167" fontId="2" fillId="0" borderId="1" xfId="0" applyNumberFormat="1" applyFont="1" applyBorder="1" applyAlignment="1"/>
    <xf numFmtId="8" fontId="2" fillId="0" borderId="1" xfId="0" applyNumberFormat="1" applyFont="1" applyBorder="1" applyAlignment="1"/>
    <xf numFmtId="0" fontId="2" fillId="0" borderId="1" xfId="0" applyFont="1" applyBorder="1"/>
    <xf numFmtId="8" fontId="2" fillId="0" borderId="1" xfId="0" applyNumberFormat="1" applyFont="1" applyBorder="1"/>
    <xf numFmtId="0" fontId="2" fillId="4" borderId="0" xfId="0" quotePrefix="1" applyFont="1" applyFill="1" applyBorder="1" applyAlignment="1">
      <alignment horizontal="center"/>
    </xf>
    <xf numFmtId="0" fontId="10" fillId="4" borderId="0" xfId="0" quotePrefix="1" applyFont="1" applyFill="1"/>
    <xf numFmtId="0" fontId="2" fillId="2" borderId="46" xfId="0" applyNumberFormat="1" applyFont="1" applyFill="1" applyBorder="1" applyAlignment="1" applyProtection="1">
      <alignment horizontal="center"/>
      <protection locked="0"/>
    </xf>
    <xf numFmtId="1" fontId="2" fillId="2" borderId="8" xfId="0" applyNumberFormat="1" applyFont="1" applyFill="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1" fontId="2" fillId="2" borderId="4" xfId="0" applyNumberFormat="1"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171" fontId="2" fillId="2" borderId="29" xfId="1" applyNumberFormat="1" applyFont="1" applyFill="1" applyBorder="1" applyAlignment="1" applyProtection="1">
      <alignment horizontal="center"/>
      <protection locked="0"/>
    </xf>
    <xf numFmtId="8" fontId="2" fillId="2" borderId="32" xfId="1" applyNumberFormat="1" applyFont="1" applyFill="1" applyBorder="1" applyAlignment="1" applyProtection="1">
      <alignment horizontal="center"/>
      <protection locked="0"/>
    </xf>
    <xf numFmtId="171" fontId="2" fillId="2" borderId="3" xfId="1" applyNumberFormat="1" applyFont="1" applyFill="1" applyBorder="1" applyAlignment="1" applyProtection="1">
      <alignment horizontal="center"/>
      <protection locked="0"/>
    </xf>
    <xf numFmtId="8" fontId="2" fillId="2" borderId="9" xfId="1" applyNumberFormat="1" applyFont="1" applyFill="1" applyBorder="1" applyAlignment="1" applyProtection="1">
      <alignment horizontal="center"/>
      <protection locked="0"/>
    </xf>
    <xf numFmtId="9" fontId="2" fillId="2" borderId="41" xfId="2" applyFont="1" applyFill="1" applyBorder="1" applyAlignment="1" applyProtection="1">
      <alignment horizontal="center"/>
      <protection locked="0"/>
    </xf>
    <xf numFmtId="171" fontId="2" fillId="2" borderId="41" xfId="1" applyNumberFormat="1" applyFont="1" applyFill="1" applyBorder="1" applyAlignment="1" applyProtection="1">
      <alignment horizontal="center"/>
      <protection locked="0"/>
    </xf>
    <xf numFmtId="167" fontId="2" fillId="2" borderId="11" xfId="1" applyNumberFormat="1" applyFont="1" applyFill="1" applyBorder="1" applyAlignment="1" applyProtection="1">
      <alignment horizontal="center"/>
      <protection locked="0"/>
    </xf>
    <xf numFmtId="8" fontId="2" fillId="2" borderId="1" xfId="0" applyNumberFormat="1" applyFont="1" applyFill="1" applyBorder="1" applyAlignment="1" applyProtection="1">
      <protection locked="0"/>
    </xf>
    <xf numFmtId="0" fontId="4" fillId="2" borderId="54"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167" fontId="2" fillId="2" borderId="0" xfId="1" applyNumberFormat="1" applyFont="1" applyFill="1" applyAlignment="1" applyProtection="1">
      <alignment horizontal="center"/>
      <protection locked="0"/>
    </xf>
    <xf numFmtId="0" fontId="2" fillId="2" borderId="13" xfId="0" quotePrefix="1" applyFont="1" applyFill="1" applyBorder="1" applyAlignment="1" applyProtection="1">
      <alignment horizontal="center"/>
      <protection locked="0"/>
    </xf>
    <xf numFmtId="1" fontId="2" fillId="2" borderId="23" xfId="0" applyNumberFormat="1" applyFont="1" applyFill="1" applyBorder="1" applyAlignment="1" applyProtection="1">
      <alignment horizontal="center"/>
      <protection locked="0"/>
    </xf>
    <xf numFmtId="1" fontId="8" fillId="2" borderId="23" xfId="0" applyNumberFormat="1"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69" fontId="2" fillId="2" borderId="29" xfId="1" applyNumberFormat="1" applyFont="1" applyFill="1" applyBorder="1" applyAlignment="1" applyProtection="1">
      <alignment horizontal="center"/>
      <protection locked="0"/>
    </xf>
    <xf numFmtId="171" fontId="2" fillId="2" borderId="3" xfId="1" applyNumberFormat="1" applyFont="1" applyFill="1" applyBorder="1" applyProtection="1">
      <protection locked="0"/>
    </xf>
    <xf numFmtId="8" fontId="2" fillId="2" borderId="9" xfId="1" applyNumberFormat="1" applyFont="1" applyFill="1" applyBorder="1" applyProtection="1">
      <protection locked="0"/>
    </xf>
    <xf numFmtId="171" fontId="2" fillId="2" borderId="29" xfId="1" applyNumberFormat="1" applyFont="1" applyFill="1" applyBorder="1" applyProtection="1">
      <protection locked="0"/>
    </xf>
    <xf numFmtId="171" fontId="2" fillId="2" borderId="41" xfId="1" applyNumberFormat="1" applyFont="1" applyFill="1" applyBorder="1" applyProtection="1">
      <protection locked="0"/>
    </xf>
    <xf numFmtId="171" fontId="3" fillId="2" borderId="3" xfId="1" applyNumberFormat="1" applyFont="1" applyFill="1" applyBorder="1" applyProtection="1">
      <protection locked="0"/>
    </xf>
    <xf numFmtId="171" fontId="3" fillId="2" borderId="29" xfId="1" applyNumberFormat="1" applyFont="1" applyFill="1" applyBorder="1" applyProtection="1">
      <protection locked="0"/>
    </xf>
    <xf numFmtId="171" fontId="3" fillId="2" borderId="41" xfId="1" applyNumberFormat="1" applyFont="1" applyFill="1" applyBorder="1" applyProtection="1">
      <protection locked="0"/>
    </xf>
    <xf numFmtId="167" fontId="2" fillId="2" borderId="11" xfId="1" applyNumberFormat="1" applyFont="1" applyFill="1" applyBorder="1" applyProtection="1">
      <protection locked="0"/>
    </xf>
    <xf numFmtId="8" fontId="2" fillId="2" borderId="1" xfId="0" quotePrefix="1" applyNumberFormat="1" applyFont="1" applyFill="1" applyBorder="1" applyAlignment="1" applyProtection="1">
      <protection locked="0"/>
    </xf>
    <xf numFmtId="0" fontId="10" fillId="4" borderId="0" xfId="0" applyFont="1" applyFill="1" applyBorder="1" applyAlignment="1" applyProtection="1">
      <alignment horizontal="left"/>
      <protection locked="0"/>
    </xf>
    <xf numFmtId="172" fontId="7" fillId="4" borderId="0" xfId="0" applyNumberFormat="1" applyFont="1" applyFill="1" applyBorder="1" applyAlignment="1" applyProtection="1">
      <alignment horizontal="center" vertical="center"/>
      <protection hidden="1"/>
    </xf>
    <xf numFmtId="0" fontId="18" fillId="4" borderId="0" xfId="3" applyFont="1" applyFill="1" applyAlignment="1" applyProtection="1">
      <alignment horizontal="center" vertical="center"/>
      <protection hidden="1"/>
    </xf>
    <xf numFmtId="0" fontId="19" fillId="4" borderId="0" xfId="0" applyFont="1" applyFill="1" applyAlignment="1" applyProtection="1">
      <alignment horizontal="center"/>
      <protection hidden="1"/>
    </xf>
    <xf numFmtId="0" fontId="11" fillId="4" borderId="0" xfId="0" applyFont="1" applyFill="1" applyAlignment="1">
      <alignment horizontal="center" vertical="center"/>
    </xf>
    <xf numFmtId="0" fontId="10" fillId="2" borderId="33" xfId="0" applyFont="1" applyFill="1" applyBorder="1" applyAlignment="1" applyProtection="1">
      <alignment horizontal="left"/>
      <protection locked="0"/>
    </xf>
    <xf numFmtId="0" fontId="10" fillId="2" borderId="36" xfId="0" applyFont="1" applyFill="1" applyBorder="1" applyAlignment="1" applyProtection="1">
      <alignment horizontal="left"/>
      <protection locked="0"/>
    </xf>
    <xf numFmtId="0" fontId="10" fillId="2" borderId="37" xfId="0" applyFont="1" applyFill="1" applyBorder="1" applyAlignment="1" applyProtection="1">
      <alignment horizontal="left"/>
      <protection locked="0"/>
    </xf>
    <xf numFmtId="0" fontId="9" fillId="0" borderId="36" xfId="0" applyFont="1" applyBorder="1" applyAlignment="1">
      <alignment horizontal="center"/>
    </xf>
    <xf numFmtId="0" fontId="9" fillId="0" borderId="33" xfId="0" applyFont="1" applyBorder="1" applyAlignment="1">
      <alignment horizontal="center"/>
    </xf>
    <xf numFmtId="0" fontId="9" fillId="0" borderId="37"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left"/>
    </xf>
    <xf numFmtId="0" fontId="2" fillId="0" borderId="1" xfId="0" applyFont="1" applyBorder="1" applyAlignment="1">
      <alignment horizontal="left"/>
    </xf>
    <xf numFmtId="0" fontId="4" fillId="0" borderId="33" xfId="0" applyFont="1" applyBorder="1" applyAlignment="1">
      <alignment horizontal="center"/>
    </xf>
    <xf numFmtId="0" fontId="4" fillId="0" borderId="36" xfId="0" applyFont="1" applyBorder="1" applyAlignment="1">
      <alignment horizontal="center"/>
    </xf>
    <xf numFmtId="0" fontId="4" fillId="0" borderId="34" xfId="0" applyFont="1" applyBorder="1" applyAlignment="1">
      <alignment horizontal="center"/>
    </xf>
    <xf numFmtId="0" fontId="2" fillId="0" borderId="40" xfId="0" applyFont="1" applyBorder="1" applyAlignment="1">
      <alignment horizontal="left"/>
    </xf>
    <xf numFmtId="0" fontId="2" fillId="0" borderId="23" xfId="0" applyFont="1" applyBorder="1" applyAlignment="1">
      <alignment horizontal="left"/>
    </xf>
    <xf numFmtId="0" fontId="4" fillId="0" borderId="37" xfId="0" applyFont="1" applyBorder="1" applyAlignment="1">
      <alignment horizontal="center"/>
    </xf>
    <xf numFmtId="0" fontId="2" fillId="0" borderId="31" xfId="0" applyFont="1" applyBorder="1" applyAlignment="1">
      <alignment horizontal="left"/>
    </xf>
    <xf numFmtId="0" fontId="2" fillId="0" borderId="24" xfId="0" applyFont="1" applyBorder="1" applyAlignment="1">
      <alignment horizontal="left"/>
    </xf>
    <xf numFmtId="166" fontId="2" fillId="0" borderId="16" xfId="0" applyNumberFormat="1" applyFont="1" applyBorder="1" applyAlignment="1">
      <alignment horizontal="center"/>
    </xf>
    <xf numFmtId="166" fontId="2" fillId="0" borderId="39" xfId="0" applyNumberFormat="1" applyFont="1" applyBorder="1" applyAlignment="1">
      <alignment horizontal="center"/>
    </xf>
    <xf numFmtId="166" fontId="2" fillId="0" borderId="3" xfId="0" applyNumberFormat="1" applyFont="1" applyBorder="1" applyAlignment="1">
      <alignment horizontal="center"/>
    </xf>
    <xf numFmtId="0" fontId="2" fillId="0" borderId="20" xfId="0" applyFont="1" applyBorder="1" applyAlignment="1">
      <alignment horizontal="left"/>
    </xf>
    <xf numFmtId="0" fontId="2" fillId="0" borderId="4" xfId="0" applyFont="1" applyBorder="1" applyAlignment="1">
      <alignment horizontal="left"/>
    </xf>
    <xf numFmtId="0" fontId="4" fillId="0" borderId="1" xfId="0" applyFont="1" applyBorder="1" applyAlignment="1">
      <alignment horizontal="center"/>
    </xf>
    <xf numFmtId="0" fontId="4" fillId="0" borderId="9" xfId="0" applyFont="1" applyBorder="1" applyAlignment="1">
      <alignment horizontal="center"/>
    </xf>
    <xf numFmtId="0" fontId="4" fillId="0" borderId="38"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2" fillId="0" borderId="29" xfId="0" applyFont="1" applyBorder="1" applyAlignment="1">
      <alignment horizontal="center"/>
    </xf>
    <xf numFmtId="0" fontId="2" fillId="0" borderId="2" xfId="0" applyFont="1" applyBorder="1" applyAlignment="1">
      <alignment horizontal="center"/>
    </xf>
    <xf numFmtId="1" fontId="2" fillId="2" borderId="3" xfId="0" applyNumberFormat="1" applyFont="1" applyFill="1" applyBorder="1" applyAlignment="1" applyProtection="1">
      <alignment horizontal="center"/>
      <protection locked="0"/>
    </xf>
    <xf numFmtId="1" fontId="2" fillId="2" borderId="16" xfId="0" applyNumberFormat="1" applyFont="1" applyFill="1" applyBorder="1" applyAlignment="1" applyProtection="1">
      <alignment horizontal="center"/>
      <protection locked="0"/>
    </xf>
    <xf numFmtId="0" fontId="4" fillId="0" borderId="16" xfId="0" applyFont="1" applyBorder="1" applyAlignment="1">
      <alignment horizontal="center"/>
    </xf>
    <xf numFmtId="0" fontId="4" fillId="0" borderId="3" xfId="0" applyFont="1" applyBorder="1" applyAlignment="1">
      <alignment horizontal="center"/>
    </xf>
    <xf numFmtId="0" fontId="2" fillId="0" borderId="45" xfId="0" applyFont="1" applyBorder="1" applyAlignment="1">
      <alignment horizontal="center"/>
    </xf>
    <xf numFmtId="1" fontId="2" fillId="2" borderId="39" xfId="0" applyNumberFormat="1" applyFont="1" applyFill="1" applyBorder="1" applyAlignment="1" applyProtection="1">
      <alignment horizontal="center"/>
      <protection locked="0"/>
    </xf>
    <xf numFmtId="0" fontId="4" fillId="0" borderId="39" xfId="0" applyFont="1" applyBorder="1" applyAlignment="1">
      <alignment horizontal="center"/>
    </xf>
    <xf numFmtId="0" fontId="4" fillId="0" borderId="8"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center"/>
    </xf>
    <xf numFmtId="1" fontId="2" fillId="2" borderId="1" xfId="0" applyNumberFormat="1" applyFont="1" applyFill="1" applyBorder="1" applyAlignment="1" applyProtection="1">
      <alignment horizontal="center"/>
      <protection locked="0"/>
    </xf>
    <xf numFmtId="1" fontId="2" fillId="2" borderId="9" xfId="0" applyNumberFormat="1" applyFont="1" applyFill="1" applyBorder="1" applyAlignment="1" applyProtection="1">
      <alignment horizontal="center"/>
      <protection locked="0"/>
    </xf>
    <xf numFmtId="0" fontId="4" fillId="0" borderId="31" xfId="0" applyFont="1" applyBorder="1" applyAlignment="1">
      <alignment horizontal="center"/>
    </xf>
    <xf numFmtId="0" fontId="4" fillId="0" borderId="24" xfId="0" applyFont="1" applyBorder="1" applyAlignment="1">
      <alignment horizontal="center"/>
    </xf>
    <xf numFmtId="0" fontId="2" fillId="0" borderId="5"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15" fillId="2" borderId="17"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166" fontId="2" fillId="0" borderId="38" xfId="0" applyNumberFormat="1" applyFont="1" applyBorder="1" applyAlignment="1">
      <alignment horizontal="center"/>
    </xf>
    <xf numFmtId="166" fontId="2" fillId="0" borderId="50" xfId="0" applyNumberFormat="1" applyFont="1" applyBorder="1" applyAlignment="1">
      <alignment horizontal="center"/>
    </xf>
    <xf numFmtId="166" fontId="2" fillId="0" borderId="53" xfId="0" applyNumberFormat="1" applyFont="1" applyFill="1" applyBorder="1" applyAlignment="1">
      <alignment horizontal="center"/>
    </xf>
    <xf numFmtId="166" fontId="2" fillId="0" borderId="37" xfId="0" applyNumberFormat="1" applyFont="1" applyFill="1" applyBorder="1" applyAlignment="1">
      <alignment horizontal="center"/>
    </xf>
    <xf numFmtId="0" fontId="2" fillId="0" borderId="0" xfId="0" applyFont="1" applyAlignment="1">
      <alignment horizontal="left"/>
    </xf>
    <xf numFmtId="0" fontId="4" fillId="0" borderId="11" xfId="0" applyFont="1" applyBorder="1" applyAlignment="1">
      <alignment horizontal="center"/>
    </xf>
    <xf numFmtId="0" fontId="4" fillId="0" borderId="12" xfId="0" applyFont="1" applyBorder="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 fillId="0" borderId="27" xfId="0" applyFont="1" applyBorder="1" applyAlignment="1">
      <alignment horizontal="center"/>
    </xf>
    <xf numFmtId="1" fontId="8" fillId="2" borderId="3" xfId="0" applyNumberFormat="1" applyFont="1" applyFill="1" applyBorder="1" applyAlignment="1" applyProtection="1">
      <alignment horizontal="center"/>
      <protection locked="0"/>
    </xf>
    <xf numFmtId="1" fontId="8" fillId="2" borderId="39" xfId="0" applyNumberFormat="1" applyFont="1" applyFill="1" applyBorder="1" applyAlignment="1" applyProtection="1">
      <alignment horizontal="center"/>
      <protection locked="0"/>
    </xf>
  </cellXfs>
  <cellStyles count="4">
    <cellStyle name="Hyperlink" xfId="3" builtinId="8"/>
    <cellStyle name="Normal" xfId="0" builtinId="0"/>
    <cellStyle name="Procent" xfId="2" builtinId="5"/>
    <cellStyle name="Valuta"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da-DK"/>
  <c:roundedCorners val="1"/>
  <c:chart>
    <c:title>
      <c:tx>
        <c:strRef>
          <c:f>'2021'!$B$1</c:f>
          <c:strCache>
            <c:ptCount val="1"/>
            <c:pt idx="0">
              <c:v>EL forbrug i Storegade 6, 2. sal, th. fra den 1. januar til den 31. december 2021</c:v>
            </c:pt>
          </c:strCache>
        </c:strRef>
      </c:tx>
      <c:layout>
        <c:manualLayout>
          <c:xMode val="edge"/>
          <c:yMode val="edge"/>
          <c:x val="0.14475565753364786"/>
          <c:y val="5.2735626564507324E-2"/>
        </c:manualLayout>
      </c:layout>
      <c:txPr>
        <a:bodyPr/>
        <a:lstStyle/>
        <a:p>
          <a:pPr>
            <a:defRPr sz="1600" baseline="0"/>
          </a:pPr>
          <a:endParaRPr lang="da-DK"/>
        </a:p>
      </c:txPr>
    </c:title>
    <c:plotArea>
      <c:layout>
        <c:manualLayout>
          <c:layoutTarget val="inner"/>
          <c:xMode val="edge"/>
          <c:yMode val="edge"/>
          <c:x val="0.11748281230955288"/>
          <c:y val="0.14212800946748386"/>
          <c:w val="0.7013239863723435"/>
          <c:h val="0.72855331364831022"/>
        </c:manualLayout>
      </c:layout>
      <c:lineChart>
        <c:grouping val="standard"/>
        <c:ser>
          <c:idx val="2"/>
          <c:order val="0"/>
          <c:tx>
            <c:strRef>
              <c:f>'2021'!$B$4</c:f>
              <c:strCache>
                <c:ptCount val="1"/>
                <c:pt idx="0">
                  <c:v>Pris i DKK</c:v>
                </c:pt>
              </c:strCache>
            </c:strRef>
          </c:tx>
          <c:spPr>
            <a:ln w="34925">
              <a:solidFill>
                <a:srgbClr val="00B050"/>
              </a:solidFill>
            </a:ln>
          </c:spPr>
          <c:marker>
            <c:symbol val="none"/>
          </c:marker>
          <c:dLbls>
            <c:txPr>
              <a:bodyPr/>
              <a:lstStyle/>
              <a:p>
                <a:pPr>
                  <a:defRPr sz="1200" b="0">
                    <a:solidFill>
                      <a:srgbClr val="00B050"/>
                    </a:solidFill>
                  </a:defRPr>
                </a:pPr>
                <a:endParaRPr lang="da-DK"/>
              </a:p>
            </c:txPr>
            <c:dLblPos val="b"/>
            <c:showVal val="1"/>
          </c:dLbls>
          <c:cat>
            <c:strRef>
              <c:f>'2021'!$C$3:$U$3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'2021'!$C$4:$U$4</c:f>
              <c:numCache>
                <c:formatCode>"kr."\ #,##0</c:formatCode>
                <c:ptCount val="19"/>
                <c:pt idx="0">
                  <c:v>252.28262275016823</c:v>
                </c:pt>
                <c:pt idx="1">
                  <c:v>387.52168730555712</c:v>
                </c:pt>
                <c:pt idx="2">
                  <c:v>449.44485811651208</c:v>
                </c:pt>
                <c:pt idx="4">
                  <c:v>382.55216405071792</c:v>
                </c:pt>
                <c:pt idx="5">
                  <c:v>422.21186600066289</c:v>
                </c:pt>
                <c:pt idx="6">
                  <c:v>377.33432494861904</c:v>
                </c:pt>
                <c:pt idx="8">
                  <c:v>428.12882190737287</c:v>
                </c:pt>
                <c:pt idx="9">
                  <c:v>398.49221496523478</c:v>
                </c:pt>
                <c:pt idx="10">
                  <c:v>376.57625562739247</c:v>
                </c:pt>
                <c:pt idx="12">
                  <c:v>469.79305923387165</c:v>
                </c:pt>
                <c:pt idx="13">
                  <c:v>447.96880474009595</c:v>
                </c:pt>
                <c:pt idx="14">
                  <c:v>478.49677977603221</c:v>
                </c:pt>
                <c:pt idx="16">
                  <c:v>276.82420300018975</c:v>
                </c:pt>
                <c:pt idx="17">
                  <c:v>493.1660107396512</c:v>
                </c:pt>
                <c:pt idx="18">
                  <c:v>384.99510686992051</c:v>
                </c:pt>
              </c:numCache>
            </c:numRef>
          </c:val>
        </c:ser>
        <c:marker val="1"/>
        <c:axId val="133552384"/>
        <c:axId val="133378432"/>
      </c:lineChart>
      <c:lineChart>
        <c:grouping val="standard"/>
        <c:ser>
          <c:idx val="1"/>
          <c:order val="1"/>
          <c:tx>
            <c:strRef>
              <c:f>'2021'!$B$5</c:f>
              <c:strCache>
                <c:ptCount val="1"/>
                <c:pt idx="0">
                  <c:v>Forbrug i kWh</c:v>
                </c:pt>
              </c:strCache>
            </c:strRef>
          </c:tx>
          <c:spPr>
            <a:ln>
              <a:solidFill>
                <a:srgbClr val="FF0000"/>
              </a:solidFill>
            </a:ln>
          </c:spPr>
          <c:marker>
            <c:symbol val="none"/>
          </c:marker>
          <c:dLbls>
            <c:txPr>
              <a:bodyPr/>
              <a:lstStyle/>
              <a:p>
                <a:pPr>
                  <a:defRPr sz="1200">
                    <a:solidFill>
                      <a:srgbClr val="FF0000"/>
                    </a:solidFill>
                  </a:defRPr>
                </a:pPr>
                <a:endParaRPr lang="da-DK"/>
              </a:p>
            </c:txPr>
            <c:dLblPos val="t"/>
            <c:showVal val="1"/>
          </c:dLbls>
          <c:cat>
            <c:strRef>
              <c:f>'2021'!$C$3:$U$3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'2021'!$C$5:$U$5</c:f>
              <c:numCache>
                <c:formatCode>0</c:formatCode>
                <c:ptCount val="19"/>
                <c:pt idx="0">
                  <c:v>124.37</c:v>
                </c:pt>
                <c:pt idx="1">
                  <c:v>191.04</c:v>
                </c:pt>
                <c:pt idx="2">
                  <c:v>221.56681421258665</c:v>
                </c:pt>
                <c:pt idx="4">
                  <c:v>185.49</c:v>
                </c:pt>
                <c:pt idx="5">
                  <c:v>204.72</c:v>
                </c:pt>
                <c:pt idx="6">
                  <c:v>182.96</c:v>
                </c:pt>
                <c:pt idx="8">
                  <c:v>192.42</c:v>
                </c:pt>
                <c:pt idx="9">
                  <c:v>179.1</c:v>
                </c:pt>
                <c:pt idx="10">
                  <c:v>169.25</c:v>
                </c:pt>
                <c:pt idx="12">
                  <c:v>180.82</c:v>
                </c:pt>
                <c:pt idx="13">
                  <c:v>172.42</c:v>
                </c:pt>
                <c:pt idx="14">
                  <c:v>184.17</c:v>
                </c:pt>
                <c:pt idx="16">
                  <c:v>124.37</c:v>
                </c:pt>
                <c:pt idx="17">
                  <c:v>221.56681421258665</c:v>
                </c:pt>
                <c:pt idx="18">
                  <c:v>172.96840710629334</c:v>
                </c:pt>
              </c:numCache>
            </c:numRef>
          </c:val>
        </c:ser>
        <c:marker val="1"/>
        <c:axId val="133390336"/>
        <c:axId val="133380352"/>
      </c:lineChart>
      <c:catAx>
        <c:axId val="133552384"/>
        <c:scaling>
          <c:orientation val="minMax"/>
        </c:scaling>
        <c:axPos val="b"/>
        <c:majorGridlines/>
        <c:title>
          <c:tx>
            <c:strRef>
              <c:f>'2021'!$B$3</c:f>
              <c:strCache>
                <c:ptCount val="1"/>
                <c:pt idx="0">
                  <c:v>2021</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3378432"/>
        <c:crosses val="autoZero"/>
        <c:auto val="1"/>
        <c:lblAlgn val="ctr"/>
        <c:lblOffset val="100"/>
        <c:tickLblSkip val="1"/>
        <c:tickMarkSkip val="1"/>
      </c:catAx>
      <c:valAx>
        <c:axId val="133378432"/>
        <c:scaling>
          <c:orientation val="minMax"/>
          <c:max val="2000"/>
        </c:scaling>
        <c:axPos val="l"/>
        <c:majorGridlines/>
        <c:title>
          <c:tx>
            <c:strRef>
              <c:f>'2021'!$B$4:$B$5</c:f>
              <c:strCache>
                <c:ptCount val="1"/>
                <c:pt idx="0">
                  <c:v>Pris i DKK Forbrug i kWh</c:v>
                </c:pt>
              </c:strCache>
            </c:strRef>
          </c:tx>
          <c:layout>
            <c:manualLayout>
              <c:xMode val="edge"/>
              <c:yMode val="edge"/>
              <c:x val="1.9462665773044629E-2"/>
              <c:y val="0.27412943600763334"/>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rgbClr val="00B050"/>
                </a:solidFill>
                <a:latin typeface="Arial"/>
                <a:ea typeface="Arial"/>
                <a:cs typeface="Arial"/>
              </a:defRPr>
            </a:pPr>
            <a:endParaRPr lang="da-DK"/>
          </a:p>
        </c:txPr>
        <c:crossAx val="133552384"/>
        <c:crosses val="autoZero"/>
        <c:crossBetween val="midCat"/>
      </c:valAx>
      <c:valAx>
        <c:axId val="133380352"/>
        <c:scaling>
          <c:orientation val="minMax"/>
        </c:scaling>
        <c:axPos val="r"/>
        <c:majorGridlines/>
        <c:numFmt formatCode="0" sourceLinked="1"/>
        <c:tickLblPos val="nextTo"/>
        <c:txPr>
          <a:bodyPr/>
          <a:lstStyle/>
          <a:p>
            <a:pPr>
              <a:defRPr sz="1200" baseline="0">
                <a:solidFill>
                  <a:srgbClr val="FF0000"/>
                </a:solidFill>
              </a:defRPr>
            </a:pPr>
            <a:endParaRPr lang="da-DK"/>
          </a:p>
        </c:txPr>
        <c:crossAx val="133390336"/>
        <c:crosses val="max"/>
        <c:crossBetween val="between"/>
      </c:valAx>
      <c:catAx>
        <c:axId val="133390336"/>
        <c:scaling>
          <c:orientation val="minMax"/>
        </c:scaling>
        <c:delete val="1"/>
        <c:axPos val="b"/>
        <c:tickLblPos val="none"/>
        <c:crossAx val="133380352"/>
        <c:crosses val="autoZero"/>
        <c:auto val="1"/>
        <c:lblAlgn val="ctr"/>
        <c:lblOffset val="100"/>
      </c:catAx>
      <c:spPr>
        <a:solidFill>
          <a:schemeClr val="bg1">
            <a:lumMod val="85000"/>
          </a:schemeClr>
        </a:solidFill>
        <a:ln w="12700">
          <a:solidFill>
            <a:srgbClr val="808080"/>
          </a:solidFill>
          <a:prstDash val="solid"/>
        </a:ln>
      </c:spPr>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638375680411946"/>
          <c:y val="0.27963377683236834"/>
          <c:w val="0.11598270661095882"/>
          <c:h val="0.46201152690966174"/>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oddFooter>&amp;F</c:oddFooter>
    </c:headerFooter>
    <c:pageMargins b="0.75000000000000122" l="0.70000000000000062" r="0.70000000000000062" t="0.75000000000000122" header="0.51181102362204722" footer="0.51181102362204722"/>
    <c:pageSetup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da-DK"/>
  <c:roundedCorners val="1"/>
  <c:chart>
    <c:title>
      <c:tx>
        <c:strRef>
          <c:f>'2025'!$B$1</c:f>
          <c:strCache>
            <c:ptCount val="1"/>
            <c:pt idx="0">
              <c:v>EL forbrug i Storegade 6, 2. sal, th. fra den 1. januar til den 31. december 2025</c:v>
            </c:pt>
          </c:strCache>
        </c:strRef>
      </c:tx>
      <c:layout>
        <c:manualLayout>
          <c:xMode val="edge"/>
          <c:yMode val="edge"/>
          <c:x val="0.10377781274949487"/>
          <c:y val="4.7570076962598684E-2"/>
        </c:manualLayout>
      </c:layout>
      <c:txPr>
        <a:bodyPr/>
        <a:lstStyle/>
        <a:p>
          <a:pPr>
            <a:defRPr sz="1600" baseline="0"/>
          </a:pPr>
          <a:endParaRPr lang="da-DK"/>
        </a:p>
      </c:txPr>
    </c:title>
    <c:view3D>
      <c:perspective val="30"/>
    </c:view3D>
    <c:sideWall>
      <c:spPr>
        <a:solidFill>
          <a:schemeClr val="bg1">
            <a:lumMod val="85000"/>
          </a:schemeClr>
        </a:solidFill>
        <a:ln w="12700">
          <a:solidFill>
            <a:srgbClr val="808080"/>
          </a:solidFill>
          <a:prstDash val="solid"/>
        </a:ln>
      </c:spPr>
    </c:sideWall>
    <c:backWall>
      <c:spPr>
        <a:solidFill>
          <a:schemeClr val="bg1">
            <a:lumMod val="85000"/>
          </a:schemeClr>
        </a:solidFill>
        <a:ln w="12700">
          <a:solidFill>
            <a:srgbClr val="808080"/>
          </a:solidFill>
          <a:prstDash val="solid"/>
        </a:ln>
      </c:spPr>
    </c:backWall>
    <c:plotArea>
      <c:layout>
        <c:manualLayout>
          <c:layoutTarget val="inner"/>
          <c:xMode val="edge"/>
          <c:yMode val="edge"/>
          <c:x val="0.11748281230955288"/>
          <c:y val="0.14212800946748391"/>
          <c:w val="0.7013239863723435"/>
          <c:h val="0.72855331364831155"/>
        </c:manualLayout>
      </c:layout>
      <c:bar3DChart>
        <c:barDir val="col"/>
        <c:grouping val="clustered"/>
        <c:ser>
          <c:idx val="2"/>
          <c:order val="0"/>
          <c:tx>
            <c:strRef>
              <c:f>'2025'!$B$4</c:f>
              <c:strCache>
                <c:ptCount val="1"/>
                <c:pt idx="0">
                  <c:v>Pris i DKK</c:v>
                </c:pt>
              </c:strCache>
            </c:strRef>
          </c:tx>
          <c:spPr>
            <a:ln w="34925">
              <a:solidFill>
                <a:srgbClr val="00B050"/>
              </a:solidFill>
            </a:ln>
          </c:spPr>
          <c:dLbls>
            <c:txPr>
              <a:bodyPr/>
              <a:lstStyle/>
              <a:p>
                <a:pPr>
                  <a:defRPr sz="1200" b="0">
                    <a:solidFill>
                      <a:srgbClr val="00B050"/>
                    </a:solidFill>
                  </a:defRPr>
                </a:pPr>
                <a:endParaRPr lang="da-DK"/>
              </a:p>
            </c:txPr>
            <c:showVal val="1"/>
          </c:dLbls>
          <c:cat>
            <c:strRef>
              <c:f>'2025'!$C$3:$U$3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'2025'!$C$4:$U$4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ser>
          <c:idx val="1"/>
          <c:order val="1"/>
          <c:tx>
            <c:strRef>
              <c:f>'2025'!$B$5</c:f>
              <c:strCache>
                <c:ptCount val="1"/>
                <c:pt idx="0">
                  <c:v>Forbrug i kWh</c:v>
                </c:pt>
              </c:strCache>
            </c:strRef>
          </c:tx>
          <c:spPr>
            <a:ln>
              <a:solidFill>
                <a:srgbClr val="FF0000"/>
              </a:solidFill>
            </a:ln>
          </c:spPr>
          <c:dLbls>
            <c:txPr>
              <a:bodyPr/>
              <a:lstStyle/>
              <a:p>
                <a:pPr>
                  <a:defRPr sz="1200">
                    <a:solidFill>
                      <a:srgbClr val="FF0000"/>
                    </a:solidFill>
                  </a:defRPr>
                </a:pPr>
                <a:endParaRPr lang="da-DK"/>
              </a:p>
            </c:txPr>
            <c:showVal val="1"/>
          </c:dLbls>
          <c:cat>
            <c:strRef>
              <c:f>'2025'!$C$3:$U$3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'2025'!$C$5:$U$5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shape val="box"/>
        <c:axId val="135194496"/>
        <c:axId val="135471104"/>
        <c:axId val="0"/>
      </c:bar3DChart>
      <c:catAx>
        <c:axId val="135194496"/>
        <c:scaling>
          <c:orientation val="minMax"/>
        </c:scaling>
        <c:axPos val="b"/>
        <c:majorGridlines/>
        <c:title>
          <c:tx>
            <c:strRef>
              <c:f>'2025'!$B$3</c:f>
              <c:strCache>
                <c:ptCount val="1"/>
                <c:pt idx="0">
                  <c:v>2025</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5471104"/>
        <c:crosses val="autoZero"/>
        <c:auto val="1"/>
        <c:lblAlgn val="ctr"/>
        <c:lblOffset val="100"/>
        <c:tickLblSkip val="1"/>
        <c:tickMarkSkip val="1"/>
      </c:catAx>
      <c:valAx>
        <c:axId val="135471104"/>
        <c:scaling>
          <c:orientation val="minMax"/>
          <c:max val="2000"/>
        </c:scaling>
        <c:axPos val="l"/>
        <c:majorGridlines/>
        <c:title>
          <c:tx>
            <c:strRef>
              <c:f>'2025'!$B$4:$B$5</c:f>
              <c:strCache>
                <c:ptCount val="1"/>
                <c:pt idx="0">
                  <c:v>Pris i DKK Forbrug i kWh</c:v>
                </c:pt>
              </c:strCache>
            </c:strRef>
          </c:tx>
          <c:layout>
            <c:manualLayout>
              <c:xMode val="edge"/>
              <c:yMode val="edge"/>
              <c:x val="4.0552369100618019E-2"/>
              <c:y val="0.20690948338758314"/>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5194496"/>
        <c:crosses val="autoZero"/>
        <c:crossBetween val="between"/>
      </c:valAx>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79821493177449809"/>
          <c:y val="0.33617986951470197"/>
          <c:w val="0.19824285311785694"/>
          <c:h val="0.33352114602983662"/>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pageMargins b="0.75000000000001465" l="0.70000000000000062" r="0.70000000000000062" t="0.75000000000001465"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da-DK"/>
  <c:roundedCorners val="1"/>
  <c:chart>
    <c:title>
      <c:tx>
        <c:strRef>
          <c:f>'2021'!$B$1</c:f>
          <c:strCache>
            <c:ptCount val="1"/>
            <c:pt idx="0">
              <c:v>EL forbrug i Storegade 6, 2. sal, th. fra den 1. januar til den 31. december 2021</c:v>
            </c:pt>
          </c:strCache>
        </c:strRef>
      </c:tx>
      <c:layout>
        <c:manualLayout>
          <c:xMode val="edge"/>
          <c:yMode val="edge"/>
          <c:x val="0.10377781274949487"/>
          <c:y val="4.7570076962598684E-2"/>
        </c:manualLayout>
      </c:layout>
      <c:txPr>
        <a:bodyPr/>
        <a:lstStyle/>
        <a:p>
          <a:pPr>
            <a:defRPr sz="1600" baseline="0"/>
          </a:pPr>
          <a:endParaRPr lang="da-DK"/>
        </a:p>
      </c:txPr>
    </c:title>
    <c:view3D>
      <c:perspective val="30"/>
    </c:view3D>
    <c:sideWall>
      <c:spPr>
        <a:solidFill>
          <a:schemeClr val="bg1">
            <a:lumMod val="85000"/>
          </a:schemeClr>
        </a:solidFill>
        <a:ln w="12700">
          <a:solidFill>
            <a:srgbClr val="808080"/>
          </a:solidFill>
          <a:prstDash val="solid"/>
        </a:ln>
      </c:spPr>
    </c:sideWall>
    <c:backWall>
      <c:spPr>
        <a:solidFill>
          <a:schemeClr val="bg1">
            <a:lumMod val="85000"/>
          </a:schemeClr>
        </a:solidFill>
        <a:ln w="12700">
          <a:solidFill>
            <a:srgbClr val="808080"/>
          </a:solidFill>
          <a:prstDash val="solid"/>
        </a:ln>
      </c:spPr>
    </c:backWall>
    <c:plotArea>
      <c:layout>
        <c:manualLayout>
          <c:layoutTarget val="inner"/>
          <c:xMode val="edge"/>
          <c:yMode val="edge"/>
          <c:x val="0.11748281230955288"/>
          <c:y val="0.14212800946748391"/>
          <c:w val="0.7013239863723435"/>
          <c:h val="0.72855331364831111"/>
        </c:manualLayout>
      </c:layout>
      <c:bar3DChart>
        <c:barDir val="col"/>
        <c:grouping val="clustered"/>
        <c:ser>
          <c:idx val="2"/>
          <c:order val="0"/>
          <c:tx>
            <c:strRef>
              <c:f>'2021'!$B$4</c:f>
              <c:strCache>
                <c:ptCount val="1"/>
                <c:pt idx="0">
                  <c:v>Pris i DKK</c:v>
                </c:pt>
              </c:strCache>
            </c:strRef>
          </c:tx>
          <c:spPr>
            <a:ln w="34925">
              <a:solidFill>
                <a:srgbClr val="00B050"/>
              </a:solidFill>
            </a:ln>
          </c:spPr>
          <c:dLbls>
            <c:txPr>
              <a:bodyPr/>
              <a:lstStyle/>
              <a:p>
                <a:pPr>
                  <a:defRPr sz="1200" b="0">
                    <a:solidFill>
                      <a:srgbClr val="00B050"/>
                    </a:solidFill>
                  </a:defRPr>
                </a:pPr>
                <a:endParaRPr lang="da-DK"/>
              </a:p>
            </c:txPr>
            <c:showVal val="1"/>
          </c:dLbls>
          <c:cat>
            <c:strRef>
              <c:f>'2021'!$C$3:$U$3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'2021'!$C$4:$U$4</c:f>
              <c:numCache>
                <c:formatCode>"kr."\ #,##0</c:formatCode>
                <c:ptCount val="19"/>
                <c:pt idx="0">
                  <c:v>252.28262275016823</c:v>
                </c:pt>
                <c:pt idx="1">
                  <c:v>387.52168730555712</c:v>
                </c:pt>
                <c:pt idx="2">
                  <c:v>449.44485811651208</c:v>
                </c:pt>
                <c:pt idx="4">
                  <c:v>382.55216405071792</c:v>
                </c:pt>
                <c:pt idx="5">
                  <c:v>422.21186600066289</c:v>
                </c:pt>
                <c:pt idx="6">
                  <c:v>377.33432494861904</c:v>
                </c:pt>
                <c:pt idx="8">
                  <c:v>428.12882190737287</c:v>
                </c:pt>
                <c:pt idx="9">
                  <c:v>398.49221496523478</c:v>
                </c:pt>
                <c:pt idx="10">
                  <c:v>376.57625562739247</c:v>
                </c:pt>
                <c:pt idx="12">
                  <c:v>469.79305923387165</c:v>
                </c:pt>
                <c:pt idx="13">
                  <c:v>447.96880474009595</c:v>
                </c:pt>
                <c:pt idx="14">
                  <c:v>478.49677977603221</c:v>
                </c:pt>
                <c:pt idx="16">
                  <c:v>276.82420300018975</c:v>
                </c:pt>
                <c:pt idx="17">
                  <c:v>493.1660107396512</c:v>
                </c:pt>
                <c:pt idx="18">
                  <c:v>384.99510686992051</c:v>
                </c:pt>
              </c:numCache>
            </c:numRef>
          </c:val>
        </c:ser>
        <c:ser>
          <c:idx val="1"/>
          <c:order val="1"/>
          <c:tx>
            <c:strRef>
              <c:f>'2021'!$B$5</c:f>
              <c:strCache>
                <c:ptCount val="1"/>
                <c:pt idx="0">
                  <c:v>Forbrug i kWh</c:v>
                </c:pt>
              </c:strCache>
            </c:strRef>
          </c:tx>
          <c:spPr>
            <a:ln>
              <a:solidFill>
                <a:srgbClr val="FF0000"/>
              </a:solidFill>
            </a:ln>
          </c:spPr>
          <c:dLbls>
            <c:txPr>
              <a:bodyPr/>
              <a:lstStyle/>
              <a:p>
                <a:pPr>
                  <a:defRPr sz="1200">
                    <a:solidFill>
                      <a:srgbClr val="FF0000"/>
                    </a:solidFill>
                  </a:defRPr>
                </a:pPr>
                <a:endParaRPr lang="da-DK"/>
              </a:p>
            </c:txPr>
            <c:showVal val="1"/>
          </c:dLbls>
          <c:cat>
            <c:strRef>
              <c:f>'2021'!$C$3:$U$3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'2021'!$C$5:$U$5</c:f>
              <c:numCache>
                <c:formatCode>0</c:formatCode>
                <c:ptCount val="19"/>
                <c:pt idx="0">
                  <c:v>124.37</c:v>
                </c:pt>
                <c:pt idx="1">
                  <c:v>191.04</c:v>
                </c:pt>
                <c:pt idx="2">
                  <c:v>221.56681421258665</c:v>
                </c:pt>
                <c:pt idx="4">
                  <c:v>185.49</c:v>
                </c:pt>
                <c:pt idx="5">
                  <c:v>204.72</c:v>
                </c:pt>
                <c:pt idx="6">
                  <c:v>182.96</c:v>
                </c:pt>
                <c:pt idx="8">
                  <c:v>192.42</c:v>
                </c:pt>
                <c:pt idx="9">
                  <c:v>179.1</c:v>
                </c:pt>
                <c:pt idx="10">
                  <c:v>169.25</c:v>
                </c:pt>
                <c:pt idx="12">
                  <c:v>180.82</c:v>
                </c:pt>
                <c:pt idx="13">
                  <c:v>172.42</c:v>
                </c:pt>
                <c:pt idx="14">
                  <c:v>184.17</c:v>
                </c:pt>
                <c:pt idx="16">
                  <c:v>124.37</c:v>
                </c:pt>
                <c:pt idx="17">
                  <c:v>221.56681421258665</c:v>
                </c:pt>
                <c:pt idx="18">
                  <c:v>172.96840710629334</c:v>
                </c:pt>
              </c:numCache>
            </c:numRef>
          </c:val>
        </c:ser>
        <c:shape val="box"/>
        <c:axId val="133503232"/>
        <c:axId val="134365568"/>
        <c:axId val="0"/>
      </c:bar3DChart>
      <c:catAx>
        <c:axId val="133503232"/>
        <c:scaling>
          <c:orientation val="minMax"/>
        </c:scaling>
        <c:axPos val="b"/>
        <c:majorGridlines/>
        <c:title>
          <c:tx>
            <c:strRef>
              <c:f>'2021'!$B$3</c:f>
              <c:strCache>
                <c:ptCount val="1"/>
                <c:pt idx="0">
                  <c:v>2021</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365568"/>
        <c:crosses val="autoZero"/>
        <c:auto val="1"/>
        <c:lblAlgn val="ctr"/>
        <c:lblOffset val="100"/>
        <c:tickLblSkip val="1"/>
        <c:tickMarkSkip val="1"/>
      </c:catAx>
      <c:valAx>
        <c:axId val="134365568"/>
        <c:scaling>
          <c:orientation val="minMax"/>
          <c:max val="2000"/>
        </c:scaling>
        <c:axPos val="l"/>
        <c:majorGridlines/>
        <c:title>
          <c:tx>
            <c:strRef>
              <c:f>'2021'!$B$4:$B$5</c:f>
              <c:strCache>
                <c:ptCount val="1"/>
                <c:pt idx="0">
                  <c:v>Pris i DKK Forbrug i kWh</c:v>
                </c:pt>
              </c:strCache>
            </c:strRef>
          </c:tx>
          <c:layout>
            <c:manualLayout>
              <c:xMode val="edge"/>
              <c:yMode val="edge"/>
              <c:x val="2.8798260923078522E-2"/>
              <c:y val="0.19831342655305803"/>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rgbClr val="00B050"/>
                </a:solidFill>
                <a:latin typeface="Arial"/>
                <a:ea typeface="Arial"/>
                <a:cs typeface="Arial"/>
              </a:defRPr>
            </a:pPr>
            <a:endParaRPr lang="da-DK"/>
          </a:p>
        </c:txPr>
        <c:crossAx val="133503232"/>
        <c:crosses val="autoZero"/>
        <c:crossBetween val="between"/>
      </c:valAx>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0136585809623917"/>
          <c:y val="0.3377991751031123"/>
          <c:w val="0.19752689598758538"/>
          <c:h val="0.33010153730783703"/>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pageMargins b="0.75000000000001465" l="0.70000000000000062" r="0.70000000000000062" t="0.75000000000001465"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da-DK"/>
  <c:roundedCorners val="1"/>
  <c:chart>
    <c:title>
      <c:tx>
        <c:strRef>
          <c:f>'2022'!$B$1</c:f>
          <c:strCache>
            <c:ptCount val="1"/>
            <c:pt idx="0">
              <c:v>EL forbrug i Storegade 6, 2. sal, th. fra den 1. januar til den 31. december 2022</c:v>
            </c:pt>
          </c:strCache>
        </c:strRef>
      </c:tx>
      <c:layout>
        <c:manualLayout>
          <c:xMode val="edge"/>
          <c:yMode val="edge"/>
          <c:x val="0.14681592147615341"/>
          <c:y val="4.7570032818487012E-2"/>
        </c:manualLayout>
      </c:layout>
      <c:txPr>
        <a:bodyPr/>
        <a:lstStyle/>
        <a:p>
          <a:pPr>
            <a:defRPr sz="1600" baseline="0"/>
          </a:pPr>
          <a:endParaRPr lang="da-DK"/>
        </a:p>
      </c:txPr>
    </c:title>
    <c:plotArea>
      <c:layout>
        <c:manualLayout>
          <c:layoutTarget val="inner"/>
          <c:xMode val="edge"/>
          <c:yMode val="edge"/>
          <c:x val="0.11748281230955288"/>
          <c:y val="0.1421280094674838"/>
          <c:w val="0.7013239863723435"/>
          <c:h val="0.72855331364831"/>
        </c:manualLayout>
      </c:layout>
      <c:lineChart>
        <c:grouping val="standard"/>
        <c:ser>
          <c:idx val="2"/>
          <c:order val="0"/>
          <c:tx>
            <c:strRef>
              <c:f>'2022'!$B$4</c:f>
              <c:strCache>
                <c:ptCount val="1"/>
                <c:pt idx="0">
                  <c:v>Pris i DKK</c:v>
                </c:pt>
              </c:strCache>
            </c:strRef>
          </c:tx>
          <c:spPr>
            <a:ln w="34925">
              <a:solidFill>
                <a:srgbClr val="00B050"/>
              </a:solidFill>
            </a:ln>
          </c:spPr>
          <c:marker>
            <c:symbol val="none"/>
          </c:marker>
          <c:dLbls>
            <c:txPr>
              <a:bodyPr/>
              <a:lstStyle/>
              <a:p>
                <a:pPr>
                  <a:defRPr sz="1200" b="0">
                    <a:solidFill>
                      <a:srgbClr val="00B050"/>
                    </a:solidFill>
                  </a:defRPr>
                </a:pPr>
                <a:endParaRPr lang="da-DK"/>
              </a:p>
            </c:txPr>
            <c:dLblPos val="b"/>
            <c:showVal val="1"/>
          </c:dLbls>
          <c:cat>
            <c:strRef>
              <c:f>'2022'!$C$3:$U$3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'2022'!$C$4:$U$4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marker val="1"/>
        <c:axId val="134631808"/>
        <c:axId val="134633728"/>
      </c:lineChart>
      <c:lineChart>
        <c:grouping val="standard"/>
        <c:ser>
          <c:idx val="1"/>
          <c:order val="1"/>
          <c:tx>
            <c:strRef>
              <c:f>'2022'!$B$5</c:f>
              <c:strCache>
                <c:ptCount val="1"/>
                <c:pt idx="0">
                  <c:v>Forbrug i kWh</c:v>
                </c:pt>
              </c:strCache>
            </c:strRef>
          </c:tx>
          <c:spPr>
            <a:ln>
              <a:solidFill>
                <a:srgbClr val="FF0000"/>
              </a:solidFill>
            </a:ln>
          </c:spPr>
          <c:marker>
            <c:symbol val="none"/>
          </c:marker>
          <c:dLbls>
            <c:txPr>
              <a:bodyPr/>
              <a:lstStyle/>
              <a:p>
                <a:pPr>
                  <a:defRPr sz="1200">
                    <a:solidFill>
                      <a:srgbClr val="FF0000"/>
                    </a:solidFill>
                  </a:defRPr>
                </a:pPr>
                <a:endParaRPr lang="da-DK"/>
              </a:p>
            </c:txPr>
            <c:dLblPos val="t"/>
            <c:showVal val="1"/>
          </c:dLbls>
          <c:cat>
            <c:strRef>
              <c:f>'2022'!$C$3:$U$3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'2022'!$C$5:$U$5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marker val="1"/>
        <c:axId val="134641536"/>
        <c:axId val="134640000"/>
      </c:lineChart>
      <c:catAx>
        <c:axId val="134631808"/>
        <c:scaling>
          <c:orientation val="minMax"/>
        </c:scaling>
        <c:axPos val="b"/>
        <c:majorGridlines/>
        <c:title>
          <c:tx>
            <c:strRef>
              <c:f>'2022'!$B$3</c:f>
              <c:strCache>
                <c:ptCount val="1"/>
                <c:pt idx="0">
                  <c:v>2022</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633728"/>
        <c:crosses val="autoZero"/>
        <c:auto val="1"/>
        <c:lblAlgn val="ctr"/>
        <c:lblOffset val="100"/>
        <c:tickLblSkip val="1"/>
        <c:tickMarkSkip val="1"/>
      </c:catAx>
      <c:valAx>
        <c:axId val="134633728"/>
        <c:scaling>
          <c:orientation val="minMax"/>
          <c:max val="2000"/>
        </c:scaling>
        <c:axPos val="l"/>
        <c:majorGridlines/>
        <c:title>
          <c:tx>
            <c:strRef>
              <c:f>'2022'!$B$4:$B$5</c:f>
              <c:strCache>
                <c:ptCount val="1"/>
                <c:pt idx="0">
                  <c:v>Pris i DKK Forbrug i kWh</c:v>
                </c:pt>
              </c:strCache>
            </c:strRef>
          </c:tx>
          <c:layout>
            <c:manualLayout>
              <c:xMode val="edge"/>
              <c:yMode val="edge"/>
              <c:x val="1.7822128654820586E-2"/>
              <c:y val="0.27069831129206368"/>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4631808"/>
        <c:crosses val="autoZero"/>
        <c:crossBetween val="midCat"/>
      </c:valAx>
      <c:valAx>
        <c:axId val="134640000"/>
        <c:scaling>
          <c:orientation val="minMax"/>
        </c:scaling>
        <c:axPos val="r"/>
        <c:majorGridlines/>
        <c:numFmt formatCode="0" sourceLinked="1"/>
        <c:tickLblPos val="nextTo"/>
        <c:txPr>
          <a:bodyPr/>
          <a:lstStyle/>
          <a:p>
            <a:pPr>
              <a:defRPr sz="1200" baseline="0">
                <a:solidFill>
                  <a:srgbClr val="FF0000"/>
                </a:solidFill>
              </a:defRPr>
            </a:pPr>
            <a:endParaRPr lang="da-DK"/>
          </a:p>
        </c:txPr>
        <c:crossAx val="134641536"/>
        <c:crosses val="max"/>
        <c:crossBetween val="between"/>
      </c:valAx>
      <c:catAx>
        <c:axId val="134641536"/>
        <c:scaling>
          <c:orientation val="minMax"/>
        </c:scaling>
        <c:delete val="1"/>
        <c:axPos val="b"/>
        <c:tickLblPos val="none"/>
        <c:crossAx val="134640000"/>
        <c:crosses val="autoZero"/>
        <c:auto val="1"/>
        <c:lblAlgn val="ctr"/>
        <c:lblOffset val="100"/>
      </c:catAx>
      <c:spPr>
        <a:solidFill>
          <a:schemeClr val="bg1">
            <a:lumMod val="85000"/>
          </a:schemeClr>
        </a:solidFill>
        <a:ln w="12700">
          <a:solidFill>
            <a:srgbClr val="808080"/>
          </a:solidFill>
          <a:prstDash val="solid"/>
        </a:ln>
      </c:spPr>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638375680411946"/>
          <c:y val="0.27963377683236834"/>
          <c:w val="0.11598270661095882"/>
          <c:h val="0.46201152690966157"/>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oddFooter>&amp;F</c:oddFooter>
    </c:headerFooter>
    <c:pageMargins b="0.75000000000000122" l="0.70000000000000062" r="0.70000000000000062" t="0.75000000000000122" header="0.51181102362204722" footer="0.51181102362204722"/>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da-DK"/>
  <c:roundedCorners val="1"/>
  <c:chart>
    <c:title>
      <c:tx>
        <c:strRef>
          <c:f>'2022'!$B$1</c:f>
          <c:strCache>
            <c:ptCount val="1"/>
            <c:pt idx="0">
              <c:v>EL forbrug i Storegade 6, 2. sal, th. fra den 1. januar til den 31. december 2022</c:v>
            </c:pt>
          </c:strCache>
        </c:strRef>
      </c:tx>
      <c:layout>
        <c:manualLayout>
          <c:xMode val="edge"/>
          <c:yMode val="edge"/>
          <c:x val="0.10377781274949487"/>
          <c:y val="4.7570076962598684E-2"/>
        </c:manualLayout>
      </c:layout>
      <c:txPr>
        <a:bodyPr/>
        <a:lstStyle/>
        <a:p>
          <a:pPr>
            <a:defRPr sz="1600" baseline="0"/>
          </a:pPr>
          <a:endParaRPr lang="da-DK"/>
        </a:p>
      </c:txPr>
    </c:title>
    <c:view3D>
      <c:perspective val="30"/>
    </c:view3D>
    <c:sideWall>
      <c:spPr>
        <a:solidFill>
          <a:schemeClr val="bg1">
            <a:lumMod val="85000"/>
          </a:schemeClr>
        </a:solidFill>
        <a:ln w="12700">
          <a:solidFill>
            <a:srgbClr val="808080"/>
          </a:solidFill>
          <a:prstDash val="solid"/>
        </a:ln>
      </c:spPr>
    </c:sideWall>
    <c:backWall>
      <c:spPr>
        <a:solidFill>
          <a:schemeClr val="bg1">
            <a:lumMod val="85000"/>
          </a:schemeClr>
        </a:solidFill>
        <a:ln w="12700">
          <a:solidFill>
            <a:srgbClr val="808080"/>
          </a:solidFill>
          <a:prstDash val="solid"/>
        </a:ln>
      </c:spPr>
    </c:backWall>
    <c:plotArea>
      <c:layout>
        <c:manualLayout>
          <c:layoutTarget val="inner"/>
          <c:xMode val="edge"/>
          <c:yMode val="edge"/>
          <c:x val="0.11748281230955288"/>
          <c:y val="0.14212800946748391"/>
          <c:w val="0.7013239863723435"/>
          <c:h val="0.72855331364831089"/>
        </c:manualLayout>
      </c:layout>
      <c:bar3DChart>
        <c:barDir val="col"/>
        <c:grouping val="clustered"/>
        <c:ser>
          <c:idx val="2"/>
          <c:order val="0"/>
          <c:tx>
            <c:strRef>
              <c:f>'2022'!$B$4</c:f>
              <c:strCache>
                <c:ptCount val="1"/>
                <c:pt idx="0">
                  <c:v>Pris i DKK</c:v>
                </c:pt>
              </c:strCache>
            </c:strRef>
          </c:tx>
          <c:spPr>
            <a:ln w="34925">
              <a:solidFill>
                <a:srgbClr val="00B050"/>
              </a:solidFill>
            </a:ln>
          </c:spPr>
          <c:dLbls>
            <c:txPr>
              <a:bodyPr/>
              <a:lstStyle/>
              <a:p>
                <a:pPr>
                  <a:defRPr sz="1200" b="0">
                    <a:solidFill>
                      <a:srgbClr val="00B050"/>
                    </a:solidFill>
                  </a:defRPr>
                </a:pPr>
                <a:endParaRPr lang="da-DK"/>
              </a:p>
            </c:txPr>
            <c:showVal val="1"/>
          </c:dLbls>
          <c:cat>
            <c:strRef>
              <c:f>'2022'!$C$3:$U$3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'2022'!$C$4:$U$4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ser>
          <c:idx val="1"/>
          <c:order val="1"/>
          <c:tx>
            <c:strRef>
              <c:f>'2022'!$B$5</c:f>
              <c:strCache>
                <c:ptCount val="1"/>
                <c:pt idx="0">
                  <c:v>Forbrug i kWh</c:v>
                </c:pt>
              </c:strCache>
            </c:strRef>
          </c:tx>
          <c:spPr>
            <a:ln>
              <a:solidFill>
                <a:srgbClr val="FF0000"/>
              </a:solidFill>
            </a:ln>
          </c:spPr>
          <c:dLbls>
            <c:txPr>
              <a:bodyPr/>
              <a:lstStyle/>
              <a:p>
                <a:pPr>
                  <a:defRPr sz="1200">
                    <a:solidFill>
                      <a:srgbClr val="FF0000"/>
                    </a:solidFill>
                  </a:defRPr>
                </a:pPr>
                <a:endParaRPr lang="da-DK"/>
              </a:p>
            </c:txPr>
            <c:showVal val="1"/>
          </c:dLbls>
          <c:cat>
            <c:strRef>
              <c:f>'2022'!$C$3:$U$3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'2022'!$C$5:$U$5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shape val="box"/>
        <c:axId val="134427008"/>
        <c:axId val="134428928"/>
        <c:axId val="0"/>
      </c:bar3DChart>
      <c:catAx>
        <c:axId val="134427008"/>
        <c:scaling>
          <c:orientation val="minMax"/>
        </c:scaling>
        <c:axPos val="b"/>
        <c:majorGridlines/>
        <c:title>
          <c:tx>
            <c:strRef>
              <c:f>'2022'!$B$3</c:f>
              <c:strCache>
                <c:ptCount val="1"/>
                <c:pt idx="0">
                  <c:v>2022</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428928"/>
        <c:crosses val="autoZero"/>
        <c:auto val="1"/>
        <c:lblAlgn val="ctr"/>
        <c:lblOffset val="100"/>
        <c:tickLblSkip val="1"/>
        <c:tickMarkSkip val="1"/>
      </c:catAx>
      <c:valAx>
        <c:axId val="134428928"/>
        <c:scaling>
          <c:orientation val="minMax"/>
          <c:max val="2000"/>
        </c:scaling>
        <c:axPos val="l"/>
        <c:majorGridlines/>
        <c:title>
          <c:tx>
            <c:strRef>
              <c:f>'2022'!$B$4:$B$5</c:f>
              <c:strCache>
                <c:ptCount val="1"/>
                <c:pt idx="0">
                  <c:v>Pris i DKK Forbrug i kWh</c:v>
                </c:pt>
              </c:strCache>
            </c:strRef>
          </c:tx>
          <c:layout>
            <c:manualLayout>
              <c:xMode val="edge"/>
              <c:yMode val="edge"/>
              <c:x val="4.0552369100618019E-2"/>
              <c:y val="0.2069094833875828"/>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4427008"/>
        <c:crosses val="autoZero"/>
        <c:crossBetween val="between"/>
      </c:valAx>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79821493177449809"/>
          <c:y val="0.33617986951470119"/>
          <c:w val="0.19824285311785694"/>
          <c:h val="0.33352114602983624"/>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pageMargins b="0.75000000000001465" l="0.70000000000000062" r="0.70000000000000062" t="0.75000000000001465"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da-DK"/>
  <c:roundedCorners val="1"/>
  <c:chart>
    <c:title>
      <c:tx>
        <c:strRef>
          <c:f>'2023'!$B$1</c:f>
          <c:strCache>
            <c:ptCount val="1"/>
            <c:pt idx="0">
              <c:v>EL forbrug i Storegade 6, 2. sal, th. fra den 1. januar til den 31. december 2023</c:v>
            </c:pt>
          </c:strCache>
        </c:strRef>
      </c:tx>
      <c:layout>
        <c:manualLayout>
          <c:xMode val="edge"/>
          <c:yMode val="edge"/>
          <c:x val="0.14681592147615341"/>
          <c:y val="4.7570032818487012E-2"/>
        </c:manualLayout>
      </c:layout>
      <c:txPr>
        <a:bodyPr/>
        <a:lstStyle/>
        <a:p>
          <a:pPr>
            <a:defRPr sz="1600" baseline="0"/>
          </a:pPr>
          <a:endParaRPr lang="da-DK"/>
        </a:p>
      </c:txPr>
    </c:title>
    <c:plotArea>
      <c:layout>
        <c:manualLayout>
          <c:layoutTarget val="inner"/>
          <c:xMode val="edge"/>
          <c:yMode val="edge"/>
          <c:x val="0.11748281230955288"/>
          <c:y val="0.14212800946748386"/>
          <c:w val="0.7013239863723435"/>
          <c:h val="0.72855331364831022"/>
        </c:manualLayout>
      </c:layout>
      <c:lineChart>
        <c:grouping val="standard"/>
        <c:ser>
          <c:idx val="2"/>
          <c:order val="0"/>
          <c:tx>
            <c:strRef>
              <c:f>'2023'!$B$4</c:f>
              <c:strCache>
                <c:ptCount val="1"/>
                <c:pt idx="0">
                  <c:v>Pris i DKK</c:v>
                </c:pt>
              </c:strCache>
            </c:strRef>
          </c:tx>
          <c:spPr>
            <a:ln w="34925">
              <a:solidFill>
                <a:srgbClr val="00B050"/>
              </a:solidFill>
            </a:ln>
          </c:spPr>
          <c:marker>
            <c:symbol val="none"/>
          </c:marker>
          <c:dLbls>
            <c:txPr>
              <a:bodyPr/>
              <a:lstStyle/>
              <a:p>
                <a:pPr>
                  <a:defRPr sz="1200" b="0">
                    <a:solidFill>
                      <a:srgbClr val="00B050"/>
                    </a:solidFill>
                  </a:defRPr>
                </a:pPr>
                <a:endParaRPr lang="da-DK"/>
              </a:p>
            </c:txPr>
            <c:dLblPos val="b"/>
            <c:showVal val="1"/>
          </c:dLbls>
          <c:cat>
            <c:strRef>
              <c:f>'2023'!$C$3:$U$3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'2023'!$C$4:$U$4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marker val="1"/>
        <c:axId val="134719744"/>
        <c:axId val="134721920"/>
      </c:lineChart>
      <c:lineChart>
        <c:grouping val="standard"/>
        <c:ser>
          <c:idx val="1"/>
          <c:order val="1"/>
          <c:tx>
            <c:strRef>
              <c:f>'2023'!$B$5</c:f>
              <c:strCache>
                <c:ptCount val="1"/>
                <c:pt idx="0">
                  <c:v>Forbrug i kWh</c:v>
                </c:pt>
              </c:strCache>
            </c:strRef>
          </c:tx>
          <c:spPr>
            <a:ln>
              <a:solidFill>
                <a:srgbClr val="FF0000"/>
              </a:solidFill>
            </a:ln>
          </c:spPr>
          <c:marker>
            <c:symbol val="none"/>
          </c:marker>
          <c:dLbls>
            <c:txPr>
              <a:bodyPr/>
              <a:lstStyle/>
              <a:p>
                <a:pPr>
                  <a:defRPr sz="1200">
                    <a:solidFill>
                      <a:srgbClr val="FF0000"/>
                    </a:solidFill>
                  </a:defRPr>
                </a:pPr>
                <a:endParaRPr lang="da-DK"/>
              </a:p>
            </c:txPr>
            <c:dLblPos val="t"/>
            <c:showVal val="1"/>
          </c:dLbls>
          <c:cat>
            <c:strRef>
              <c:f>'2023'!$C$3:$U$3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'2023'!$C$5:$U$5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marker val="1"/>
        <c:axId val="134729728"/>
        <c:axId val="134723840"/>
      </c:lineChart>
      <c:catAx>
        <c:axId val="134719744"/>
        <c:scaling>
          <c:orientation val="minMax"/>
        </c:scaling>
        <c:axPos val="b"/>
        <c:majorGridlines/>
        <c:title>
          <c:tx>
            <c:strRef>
              <c:f>'2023'!$B$3</c:f>
              <c:strCache>
                <c:ptCount val="1"/>
                <c:pt idx="0">
                  <c:v>2023</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721920"/>
        <c:crosses val="autoZero"/>
        <c:auto val="1"/>
        <c:lblAlgn val="ctr"/>
        <c:lblOffset val="100"/>
        <c:tickLblSkip val="1"/>
        <c:tickMarkSkip val="1"/>
      </c:catAx>
      <c:valAx>
        <c:axId val="134721920"/>
        <c:scaling>
          <c:orientation val="minMax"/>
          <c:max val="2000"/>
        </c:scaling>
        <c:axPos val="l"/>
        <c:majorGridlines/>
        <c:title>
          <c:tx>
            <c:strRef>
              <c:f>'2023'!$B$4:$B$5</c:f>
              <c:strCache>
                <c:ptCount val="1"/>
                <c:pt idx="0">
                  <c:v>Pris i DKK Forbrug i kWh</c:v>
                </c:pt>
              </c:strCache>
            </c:strRef>
          </c:tx>
          <c:layout>
            <c:manualLayout>
              <c:xMode val="edge"/>
              <c:yMode val="edge"/>
              <c:x val="1.7822128654820593E-2"/>
              <c:y val="0.27069831129206384"/>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4719744"/>
        <c:crosses val="autoZero"/>
        <c:crossBetween val="midCat"/>
      </c:valAx>
      <c:valAx>
        <c:axId val="134723840"/>
        <c:scaling>
          <c:orientation val="minMax"/>
        </c:scaling>
        <c:axPos val="r"/>
        <c:majorGridlines/>
        <c:numFmt formatCode="0" sourceLinked="1"/>
        <c:tickLblPos val="nextTo"/>
        <c:txPr>
          <a:bodyPr/>
          <a:lstStyle/>
          <a:p>
            <a:pPr>
              <a:defRPr sz="1200" baseline="0">
                <a:solidFill>
                  <a:srgbClr val="FF0000"/>
                </a:solidFill>
              </a:defRPr>
            </a:pPr>
            <a:endParaRPr lang="da-DK"/>
          </a:p>
        </c:txPr>
        <c:crossAx val="134729728"/>
        <c:crosses val="max"/>
        <c:crossBetween val="between"/>
      </c:valAx>
      <c:catAx>
        <c:axId val="134729728"/>
        <c:scaling>
          <c:orientation val="minMax"/>
        </c:scaling>
        <c:delete val="1"/>
        <c:axPos val="b"/>
        <c:tickLblPos val="none"/>
        <c:crossAx val="134723840"/>
        <c:crosses val="autoZero"/>
        <c:auto val="1"/>
        <c:lblAlgn val="ctr"/>
        <c:lblOffset val="100"/>
      </c:catAx>
      <c:spPr>
        <a:solidFill>
          <a:schemeClr val="bg1">
            <a:lumMod val="85000"/>
          </a:schemeClr>
        </a:solidFill>
        <a:ln w="12700">
          <a:solidFill>
            <a:srgbClr val="808080"/>
          </a:solidFill>
          <a:prstDash val="solid"/>
        </a:ln>
      </c:spPr>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638375680411946"/>
          <c:y val="0.27963377683236834"/>
          <c:w val="0.11598270661095882"/>
          <c:h val="0.46201152690966174"/>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oddFooter>&amp;F</c:oddFooter>
    </c:headerFooter>
    <c:pageMargins b="0.75000000000000144" l="0.70000000000000062" r="0.70000000000000062" t="0.75000000000000144" header="0.51181102362204722" footer="0.51181102362204722"/>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da-DK"/>
  <c:roundedCorners val="1"/>
  <c:chart>
    <c:title>
      <c:tx>
        <c:strRef>
          <c:f>'2023'!$B$1</c:f>
          <c:strCache>
            <c:ptCount val="1"/>
            <c:pt idx="0">
              <c:v>EL forbrug i Storegade 6, 2. sal, th. fra den 1. januar til den 31. december 2023</c:v>
            </c:pt>
          </c:strCache>
        </c:strRef>
      </c:tx>
      <c:layout>
        <c:manualLayout>
          <c:xMode val="edge"/>
          <c:yMode val="edge"/>
          <c:x val="0.10377781274949487"/>
          <c:y val="4.7570076962598684E-2"/>
        </c:manualLayout>
      </c:layout>
      <c:txPr>
        <a:bodyPr/>
        <a:lstStyle/>
        <a:p>
          <a:pPr>
            <a:defRPr sz="1600" baseline="0"/>
          </a:pPr>
          <a:endParaRPr lang="da-DK"/>
        </a:p>
      </c:txPr>
    </c:title>
    <c:view3D>
      <c:perspective val="30"/>
    </c:view3D>
    <c:sideWall>
      <c:spPr>
        <a:solidFill>
          <a:schemeClr val="bg1">
            <a:lumMod val="85000"/>
          </a:schemeClr>
        </a:solidFill>
        <a:ln w="12700">
          <a:solidFill>
            <a:srgbClr val="808080"/>
          </a:solidFill>
          <a:prstDash val="solid"/>
        </a:ln>
      </c:spPr>
    </c:sideWall>
    <c:backWall>
      <c:spPr>
        <a:solidFill>
          <a:schemeClr val="bg1">
            <a:lumMod val="85000"/>
          </a:schemeClr>
        </a:solidFill>
        <a:ln w="12700">
          <a:solidFill>
            <a:srgbClr val="808080"/>
          </a:solidFill>
          <a:prstDash val="solid"/>
        </a:ln>
      </c:spPr>
    </c:backWall>
    <c:plotArea>
      <c:layout>
        <c:manualLayout>
          <c:layoutTarget val="inner"/>
          <c:xMode val="edge"/>
          <c:yMode val="edge"/>
          <c:x val="0.11748281230955288"/>
          <c:y val="0.14212800946748391"/>
          <c:w val="0.7013239863723435"/>
          <c:h val="0.72855331364831111"/>
        </c:manualLayout>
      </c:layout>
      <c:bar3DChart>
        <c:barDir val="col"/>
        <c:grouping val="clustered"/>
        <c:ser>
          <c:idx val="2"/>
          <c:order val="0"/>
          <c:tx>
            <c:strRef>
              <c:f>'2023'!$B$4</c:f>
              <c:strCache>
                <c:ptCount val="1"/>
                <c:pt idx="0">
                  <c:v>Pris i DKK</c:v>
                </c:pt>
              </c:strCache>
            </c:strRef>
          </c:tx>
          <c:spPr>
            <a:ln w="34925">
              <a:solidFill>
                <a:srgbClr val="00B050"/>
              </a:solidFill>
            </a:ln>
          </c:spPr>
          <c:dLbls>
            <c:txPr>
              <a:bodyPr/>
              <a:lstStyle/>
              <a:p>
                <a:pPr>
                  <a:defRPr sz="1200" b="0">
                    <a:solidFill>
                      <a:srgbClr val="00B050"/>
                    </a:solidFill>
                  </a:defRPr>
                </a:pPr>
                <a:endParaRPr lang="da-DK"/>
              </a:p>
            </c:txPr>
            <c:showVal val="1"/>
          </c:dLbls>
          <c:cat>
            <c:strRef>
              <c:f>'2023'!$C$3:$U$3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'2023'!$C$4:$U$4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ser>
          <c:idx val="1"/>
          <c:order val="1"/>
          <c:tx>
            <c:strRef>
              <c:f>'2023'!$B$5</c:f>
              <c:strCache>
                <c:ptCount val="1"/>
                <c:pt idx="0">
                  <c:v>Forbrug i kWh</c:v>
                </c:pt>
              </c:strCache>
            </c:strRef>
          </c:tx>
          <c:spPr>
            <a:ln>
              <a:solidFill>
                <a:srgbClr val="FF0000"/>
              </a:solidFill>
            </a:ln>
          </c:spPr>
          <c:dLbls>
            <c:txPr>
              <a:bodyPr/>
              <a:lstStyle/>
              <a:p>
                <a:pPr>
                  <a:defRPr sz="1200">
                    <a:solidFill>
                      <a:srgbClr val="FF0000"/>
                    </a:solidFill>
                  </a:defRPr>
                </a:pPr>
                <a:endParaRPr lang="da-DK"/>
              </a:p>
            </c:txPr>
            <c:showVal val="1"/>
          </c:dLbls>
          <c:cat>
            <c:strRef>
              <c:f>'2023'!$C$3:$U$3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'2023'!$C$5:$U$5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shape val="box"/>
        <c:axId val="134772992"/>
        <c:axId val="134787456"/>
        <c:axId val="0"/>
      </c:bar3DChart>
      <c:catAx>
        <c:axId val="134772992"/>
        <c:scaling>
          <c:orientation val="minMax"/>
        </c:scaling>
        <c:axPos val="b"/>
        <c:majorGridlines/>
        <c:title>
          <c:tx>
            <c:strRef>
              <c:f>'2023'!$B$3</c:f>
              <c:strCache>
                <c:ptCount val="1"/>
                <c:pt idx="0">
                  <c:v>2023</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787456"/>
        <c:crosses val="autoZero"/>
        <c:auto val="1"/>
        <c:lblAlgn val="ctr"/>
        <c:lblOffset val="100"/>
        <c:tickLblSkip val="1"/>
        <c:tickMarkSkip val="1"/>
      </c:catAx>
      <c:valAx>
        <c:axId val="134787456"/>
        <c:scaling>
          <c:orientation val="minMax"/>
          <c:max val="2000"/>
        </c:scaling>
        <c:axPos val="l"/>
        <c:majorGridlines/>
        <c:title>
          <c:tx>
            <c:strRef>
              <c:f>'2023'!$B$4:$B$5</c:f>
              <c:strCache>
                <c:ptCount val="1"/>
                <c:pt idx="0">
                  <c:v>Pris i DKK Forbrug i kWh</c:v>
                </c:pt>
              </c:strCache>
            </c:strRef>
          </c:tx>
          <c:layout>
            <c:manualLayout>
              <c:xMode val="edge"/>
              <c:yMode val="edge"/>
              <c:x val="4.0552369100618019E-2"/>
              <c:y val="0.20690948338758292"/>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4772992"/>
        <c:crosses val="autoZero"/>
        <c:crossBetween val="between"/>
      </c:valAx>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79821493177449809"/>
          <c:y val="0.33617986951470147"/>
          <c:w val="0.19824285311785694"/>
          <c:h val="0.3335211460298364"/>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pageMargins b="0.75000000000001465" l="0.70000000000000062" r="0.70000000000000062" t="0.75000000000001465" header="0.5" footer="0.5"/>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da-DK"/>
  <c:roundedCorners val="1"/>
  <c:chart>
    <c:title>
      <c:tx>
        <c:strRef>
          <c:f>'2024'!$B$1</c:f>
          <c:strCache>
            <c:ptCount val="1"/>
            <c:pt idx="0">
              <c:v>EL forbrug i Storegade 6, 2. sal, th. fra den 1. januar til den 31. december 2024</c:v>
            </c:pt>
          </c:strCache>
        </c:strRef>
      </c:tx>
      <c:layout>
        <c:manualLayout>
          <c:xMode val="edge"/>
          <c:yMode val="edge"/>
          <c:x val="0.14681592147615341"/>
          <c:y val="4.7570032818487012E-2"/>
        </c:manualLayout>
      </c:layout>
      <c:txPr>
        <a:bodyPr/>
        <a:lstStyle/>
        <a:p>
          <a:pPr>
            <a:defRPr sz="1600" baseline="0"/>
          </a:pPr>
          <a:endParaRPr lang="da-DK"/>
        </a:p>
      </c:txPr>
    </c:title>
    <c:plotArea>
      <c:layout>
        <c:manualLayout>
          <c:layoutTarget val="inner"/>
          <c:xMode val="edge"/>
          <c:yMode val="edge"/>
          <c:x val="0.11748281230955288"/>
          <c:y val="0.14212800946748391"/>
          <c:w val="0.7013239863723435"/>
          <c:h val="0.72855331364831044"/>
        </c:manualLayout>
      </c:layout>
      <c:lineChart>
        <c:grouping val="standard"/>
        <c:ser>
          <c:idx val="2"/>
          <c:order val="0"/>
          <c:tx>
            <c:strRef>
              <c:f>'2024'!$B$4</c:f>
              <c:strCache>
                <c:ptCount val="1"/>
                <c:pt idx="0">
                  <c:v>Pris i DKK</c:v>
                </c:pt>
              </c:strCache>
            </c:strRef>
          </c:tx>
          <c:spPr>
            <a:ln w="34925">
              <a:solidFill>
                <a:srgbClr val="00B050"/>
              </a:solidFill>
            </a:ln>
          </c:spPr>
          <c:marker>
            <c:symbol val="none"/>
          </c:marker>
          <c:dLbls>
            <c:txPr>
              <a:bodyPr/>
              <a:lstStyle/>
              <a:p>
                <a:pPr>
                  <a:defRPr sz="1200" b="0">
                    <a:solidFill>
                      <a:srgbClr val="00B050"/>
                    </a:solidFill>
                  </a:defRPr>
                </a:pPr>
                <a:endParaRPr lang="da-DK"/>
              </a:p>
            </c:txPr>
            <c:dLblPos val="b"/>
            <c:showVal val="1"/>
          </c:dLbls>
          <c:cat>
            <c:strRef>
              <c:f>'2024'!$C$3:$U$3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'2024'!$C$4:$U$4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marker val="1"/>
        <c:axId val="134852608"/>
        <c:axId val="134854528"/>
      </c:lineChart>
      <c:lineChart>
        <c:grouping val="standard"/>
        <c:ser>
          <c:idx val="1"/>
          <c:order val="1"/>
          <c:tx>
            <c:strRef>
              <c:f>'2024'!$B$5</c:f>
              <c:strCache>
                <c:ptCount val="1"/>
                <c:pt idx="0">
                  <c:v>Forbrug i kWh</c:v>
                </c:pt>
              </c:strCache>
            </c:strRef>
          </c:tx>
          <c:spPr>
            <a:ln>
              <a:solidFill>
                <a:srgbClr val="FF0000"/>
              </a:solidFill>
            </a:ln>
          </c:spPr>
          <c:marker>
            <c:symbol val="none"/>
          </c:marker>
          <c:dLbls>
            <c:txPr>
              <a:bodyPr/>
              <a:lstStyle/>
              <a:p>
                <a:pPr>
                  <a:defRPr sz="1200">
                    <a:solidFill>
                      <a:srgbClr val="FF0000"/>
                    </a:solidFill>
                  </a:defRPr>
                </a:pPr>
                <a:endParaRPr lang="da-DK"/>
              </a:p>
            </c:txPr>
            <c:dLblPos val="t"/>
            <c:showVal val="1"/>
          </c:dLbls>
          <c:cat>
            <c:strRef>
              <c:f>'2024'!$C$3:$U$3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'2024'!$C$5:$U$5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marker val="1"/>
        <c:axId val="134862336"/>
        <c:axId val="134860800"/>
      </c:lineChart>
      <c:catAx>
        <c:axId val="134852608"/>
        <c:scaling>
          <c:orientation val="minMax"/>
        </c:scaling>
        <c:axPos val="b"/>
        <c:majorGridlines/>
        <c:title>
          <c:tx>
            <c:strRef>
              <c:f>'2024'!$B$3</c:f>
              <c:strCache>
                <c:ptCount val="1"/>
                <c:pt idx="0">
                  <c:v>2024</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4854528"/>
        <c:crosses val="autoZero"/>
        <c:auto val="1"/>
        <c:lblAlgn val="ctr"/>
        <c:lblOffset val="100"/>
        <c:tickLblSkip val="1"/>
        <c:tickMarkSkip val="1"/>
      </c:catAx>
      <c:valAx>
        <c:axId val="134854528"/>
        <c:scaling>
          <c:orientation val="minMax"/>
          <c:max val="2000"/>
        </c:scaling>
        <c:axPos val="l"/>
        <c:majorGridlines/>
        <c:title>
          <c:tx>
            <c:strRef>
              <c:f>'2024'!$B$4:$B$5</c:f>
              <c:strCache>
                <c:ptCount val="1"/>
                <c:pt idx="0">
                  <c:v>Pris i DKK Forbrug i kWh</c:v>
                </c:pt>
              </c:strCache>
            </c:strRef>
          </c:tx>
          <c:layout>
            <c:manualLayout>
              <c:xMode val="edge"/>
              <c:yMode val="edge"/>
              <c:x val="1.78221286548206E-2"/>
              <c:y val="0.27069831129206395"/>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4852608"/>
        <c:crosses val="autoZero"/>
        <c:crossBetween val="midCat"/>
      </c:valAx>
      <c:valAx>
        <c:axId val="134860800"/>
        <c:scaling>
          <c:orientation val="minMax"/>
        </c:scaling>
        <c:axPos val="r"/>
        <c:majorGridlines/>
        <c:numFmt formatCode="0" sourceLinked="1"/>
        <c:tickLblPos val="nextTo"/>
        <c:txPr>
          <a:bodyPr/>
          <a:lstStyle/>
          <a:p>
            <a:pPr>
              <a:defRPr sz="1200" baseline="0">
                <a:solidFill>
                  <a:srgbClr val="FF0000"/>
                </a:solidFill>
              </a:defRPr>
            </a:pPr>
            <a:endParaRPr lang="da-DK"/>
          </a:p>
        </c:txPr>
        <c:crossAx val="134862336"/>
        <c:crosses val="max"/>
        <c:crossBetween val="between"/>
      </c:valAx>
      <c:catAx>
        <c:axId val="134862336"/>
        <c:scaling>
          <c:orientation val="minMax"/>
        </c:scaling>
        <c:delete val="1"/>
        <c:axPos val="b"/>
        <c:tickLblPos val="none"/>
        <c:crossAx val="134860800"/>
        <c:crosses val="autoZero"/>
        <c:auto val="1"/>
        <c:lblAlgn val="ctr"/>
        <c:lblOffset val="100"/>
      </c:catAx>
      <c:spPr>
        <a:solidFill>
          <a:schemeClr val="bg1">
            <a:lumMod val="85000"/>
          </a:schemeClr>
        </a:solidFill>
        <a:ln w="12700">
          <a:solidFill>
            <a:srgbClr val="808080"/>
          </a:solidFill>
          <a:prstDash val="solid"/>
        </a:ln>
      </c:spPr>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638375680411946"/>
          <c:y val="0.27963377683236834"/>
          <c:w val="0.11598270661095882"/>
          <c:h val="0.46201152690966191"/>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oddFooter>&amp;F</c:oddFooter>
    </c:headerFooter>
    <c:pageMargins b="0.75000000000000167" l="0.70000000000000062" r="0.70000000000000062" t="0.75000000000000167" header="0.51181102362204722" footer="0.51181102362204722"/>
    <c:pageSetup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lang val="da-DK"/>
  <c:roundedCorners val="1"/>
  <c:chart>
    <c:title>
      <c:tx>
        <c:strRef>
          <c:f>'2024'!$B$1</c:f>
          <c:strCache>
            <c:ptCount val="1"/>
            <c:pt idx="0">
              <c:v>EL forbrug i Storegade 6, 2. sal, th. fra den 1. januar til den 31. december 2024</c:v>
            </c:pt>
          </c:strCache>
        </c:strRef>
      </c:tx>
      <c:layout>
        <c:manualLayout>
          <c:xMode val="edge"/>
          <c:yMode val="edge"/>
          <c:x val="0.10377781274949487"/>
          <c:y val="4.7570076962598684E-2"/>
        </c:manualLayout>
      </c:layout>
      <c:txPr>
        <a:bodyPr/>
        <a:lstStyle/>
        <a:p>
          <a:pPr>
            <a:defRPr sz="1600" baseline="0"/>
          </a:pPr>
          <a:endParaRPr lang="da-DK"/>
        </a:p>
      </c:txPr>
    </c:title>
    <c:view3D>
      <c:perspective val="30"/>
    </c:view3D>
    <c:sideWall>
      <c:spPr>
        <a:solidFill>
          <a:schemeClr val="bg1">
            <a:lumMod val="85000"/>
          </a:schemeClr>
        </a:solidFill>
        <a:ln w="12700">
          <a:solidFill>
            <a:srgbClr val="808080"/>
          </a:solidFill>
          <a:prstDash val="solid"/>
        </a:ln>
      </c:spPr>
    </c:sideWall>
    <c:backWall>
      <c:spPr>
        <a:solidFill>
          <a:schemeClr val="bg1">
            <a:lumMod val="85000"/>
          </a:schemeClr>
        </a:solidFill>
        <a:ln w="12700">
          <a:solidFill>
            <a:srgbClr val="808080"/>
          </a:solidFill>
          <a:prstDash val="solid"/>
        </a:ln>
      </c:spPr>
    </c:backWall>
    <c:plotArea>
      <c:layout>
        <c:manualLayout>
          <c:layoutTarget val="inner"/>
          <c:xMode val="edge"/>
          <c:yMode val="edge"/>
          <c:x val="0.11748281230955288"/>
          <c:y val="0.14212800946748391"/>
          <c:w val="0.7013239863723435"/>
          <c:h val="0.72855331364831133"/>
        </c:manualLayout>
      </c:layout>
      <c:bar3DChart>
        <c:barDir val="col"/>
        <c:grouping val="clustered"/>
        <c:ser>
          <c:idx val="2"/>
          <c:order val="0"/>
          <c:tx>
            <c:strRef>
              <c:f>'2024'!$B$4</c:f>
              <c:strCache>
                <c:ptCount val="1"/>
                <c:pt idx="0">
                  <c:v>Pris i DKK</c:v>
                </c:pt>
              </c:strCache>
            </c:strRef>
          </c:tx>
          <c:spPr>
            <a:ln w="34925">
              <a:solidFill>
                <a:srgbClr val="00B050"/>
              </a:solidFill>
            </a:ln>
          </c:spPr>
          <c:dLbls>
            <c:txPr>
              <a:bodyPr/>
              <a:lstStyle/>
              <a:p>
                <a:pPr>
                  <a:defRPr sz="1200" b="0">
                    <a:solidFill>
                      <a:srgbClr val="00B050"/>
                    </a:solidFill>
                  </a:defRPr>
                </a:pPr>
                <a:endParaRPr lang="da-DK"/>
              </a:p>
            </c:txPr>
            <c:showVal val="1"/>
          </c:dLbls>
          <c:cat>
            <c:strRef>
              <c:f>'2024'!$C$3:$U$3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'2024'!$C$4:$U$4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ser>
          <c:idx val="1"/>
          <c:order val="1"/>
          <c:tx>
            <c:strRef>
              <c:f>'2024'!$B$5</c:f>
              <c:strCache>
                <c:ptCount val="1"/>
                <c:pt idx="0">
                  <c:v>Forbrug i kWh</c:v>
                </c:pt>
              </c:strCache>
            </c:strRef>
          </c:tx>
          <c:spPr>
            <a:ln>
              <a:solidFill>
                <a:srgbClr val="FF0000"/>
              </a:solidFill>
            </a:ln>
          </c:spPr>
          <c:dLbls>
            <c:txPr>
              <a:bodyPr/>
              <a:lstStyle/>
              <a:p>
                <a:pPr>
                  <a:defRPr sz="1200">
                    <a:solidFill>
                      <a:srgbClr val="FF0000"/>
                    </a:solidFill>
                  </a:defRPr>
                </a:pPr>
                <a:endParaRPr lang="da-DK"/>
              </a:p>
            </c:txPr>
            <c:showVal val="1"/>
          </c:dLbls>
          <c:cat>
            <c:strRef>
              <c:f>'2024'!$C$3:$U$3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'2024'!$C$5:$U$5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shape val="box"/>
        <c:axId val="135323648"/>
        <c:axId val="135325568"/>
        <c:axId val="0"/>
      </c:bar3DChart>
      <c:catAx>
        <c:axId val="135323648"/>
        <c:scaling>
          <c:orientation val="minMax"/>
        </c:scaling>
        <c:axPos val="b"/>
        <c:majorGridlines/>
        <c:title>
          <c:tx>
            <c:strRef>
              <c:f>'2024'!$B$3</c:f>
              <c:strCache>
                <c:ptCount val="1"/>
                <c:pt idx="0">
                  <c:v>2024</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5325568"/>
        <c:crosses val="autoZero"/>
        <c:auto val="1"/>
        <c:lblAlgn val="ctr"/>
        <c:lblOffset val="100"/>
        <c:tickLblSkip val="1"/>
        <c:tickMarkSkip val="1"/>
      </c:catAx>
      <c:valAx>
        <c:axId val="135325568"/>
        <c:scaling>
          <c:orientation val="minMax"/>
          <c:max val="2000"/>
        </c:scaling>
        <c:axPos val="l"/>
        <c:majorGridlines/>
        <c:title>
          <c:tx>
            <c:strRef>
              <c:f>'2024'!$B$4:$B$5</c:f>
              <c:strCache>
                <c:ptCount val="1"/>
                <c:pt idx="0">
                  <c:v>Pris i DKK Forbrug i kWh</c:v>
                </c:pt>
              </c:strCache>
            </c:strRef>
          </c:tx>
          <c:layout>
            <c:manualLayout>
              <c:xMode val="edge"/>
              <c:yMode val="edge"/>
              <c:x val="4.0552369100618019E-2"/>
              <c:y val="0.20690948338758303"/>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5323648"/>
        <c:crosses val="autoZero"/>
        <c:crossBetween val="between"/>
      </c:valAx>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79821493177449809"/>
          <c:y val="0.33617986951470169"/>
          <c:w val="0.19824285311785694"/>
          <c:h val="0.33352114602983651"/>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pageMargins b="0.75000000000001465" l="0.70000000000000062" r="0.70000000000000062" t="0.75000000000001465" header="0.5" footer="0.5"/>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da-DK"/>
  <c:roundedCorners val="1"/>
  <c:chart>
    <c:title>
      <c:tx>
        <c:strRef>
          <c:f>'2025'!$B$1</c:f>
          <c:strCache>
            <c:ptCount val="1"/>
            <c:pt idx="0">
              <c:v>EL forbrug i Storegade 6, 2. sal, th. fra den 1. januar til den 31. december 2025</c:v>
            </c:pt>
          </c:strCache>
        </c:strRef>
      </c:tx>
      <c:layout>
        <c:manualLayout>
          <c:xMode val="edge"/>
          <c:yMode val="edge"/>
          <c:x val="0.14681592147615341"/>
          <c:y val="4.7570032818487012E-2"/>
        </c:manualLayout>
      </c:layout>
      <c:txPr>
        <a:bodyPr/>
        <a:lstStyle/>
        <a:p>
          <a:pPr>
            <a:defRPr sz="1600" baseline="0"/>
          </a:pPr>
          <a:endParaRPr lang="da-DK"/>
        </a:p>
      </c:txPr>
    </c:title>
    <c:plotArea>
      <c:layout>
        <c:manualLayout>
          <c:layoutTarget val="inner"/>
          <c:xMode val="edge"/>
          <c:yMode val="edge"/>
          <c:x val="0.11748281230955288"/>
          <c:y val="0.14212800946748391"/>
          <c:w val="0.7013239863723435"/>
          <c:h val="0.72855331364831066"/>
        </c:manualLayout>
      </c:layout>
      <c:lineChart>
        <c:grouping val="standard"/>
        <c:ser>
          <c:idx val="2"/>
          <c:order val="0"/>
          <c:tx>
            <c:strRef>
              <c:f>'2025'!$B$4</c:f>
              <c:strCache>
                <c:ptCount val="1"/>
                <c:pt idx="0">
                  <c:v>Pris i DKK</c:v>
                </c:pt>
              </c:strCache>
            </c:strRef>
          </c:tx>
          <c:spPr>
            <a:ln w="34925">
              <a:solidFill>
                <a:srgbClr val="00B050"/>
              </a:solidFill>
            </a:ln>
          </c:spPr>
          <c:marker>
            <c:symbol val="none"/>
          </c:marker>
          <c:dLbls>
            <c:txPr>
              <a:bodyPr/>
              <a:lstStyle/>
              <a:p>
                <a:pPr>
                  <a:defRPr sz="1200" b="0">
                    <a:solidFill>
                      <a:srgbClr val="00B050"/>
                    </a:solidFill>
                  </a:defRPr>
                </a:pPr>
                <a:endParaRPr lang="da-DK"/>
              </a:p>
            </c:txPr>
            <c:dLblPos val="b"/>
            <c:showVal val="1"/>
          </c:dLbls>
          <c:cat>
            <c:strRef>
              <c:f>'2025'!$C$3:$U$3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'2025'!$C$4:$U$4</c:f>
              <c:numCache>
                <c:formatCode>"kr."\ #,##0</c:formatCode>
                <c:ptCount val="19"/>
                <c:pt idx="0">
                  <c:v>642.97340141620816</c:v>
                </c:pt>
                <c:pt idx="1">
                  <c:v>529.55695528207627</c:v>
                </c:pt>
                <c:pt idx="2">
                  <c:v>587.52610830171545</c:v>
                </c:pt>
                <c:pt idx="4">
                  <c:v>636.65498358591447</c:v>
                </c:pt>
                <c:pt idx="5">
                  <c:v>706.80863657655277</c:v>
                </c:pt>
                <c:pt idx="6">
                  <c:v>707.77069983753245</c:v>
                </c:pt>
                <c:pt idx="8">
                  <c:v>674.9889915392414</c:v>
                </c:pt>
                <c:pt idx="9">
                  <c:v>596.03831771724799</c:v>
                </c:pt>
                <c:pt idx="10">
                  <c:v>573.14972824351037</c:v>
                </c:pt>
                <c:pt idx="12">
                  <c:v>780.72950664136636</c:v>
                </c:pt>
                <c:pt idx="13">
                  <c:v>1301.2158444022771</c:v>
                </c:pt>
                <c:pt idx="14">
                  <c:v>1346.7583989563568</c:v>
                </c:pt>
                <c:pt idx="16">
                  <c:v>524.95248833412779</c:v>
                </c:pt>
                <c:pt idx="17">
                  <c:v>905.54304237637052</c:v>
                </c:pt>
                <c:pt idx="18">
                  <c:v>715.24776535524916</c:v>
                </c:pt>
              </c:numCache>
            </c:numRef>
          </c:val>
        </c:ser>
        <c:marker val="1"/>
        <c:axId val="135137152"/>
        <c:axId val="135155712"/>
      </c:lineChart>
      <c:lineChart>
        <c:grouping val="standard"/>
        <c:ser>
          <c:idx val="1"/>
          <c:order val="1"/>
          <c:tx>
            <c:strRef>
              <c:f>'2025'!$B$5</c:f>
              <c:strCache>
                <c:ptCount val="1"/>
                <c:pt idx="0">
                  <c:v>Forbrug i kWh</c:v>
                </c:pt>
              </c:strCache>
            </c:strRef>
          </c:tx>
          <c:spPr>
            <a:ln>
              <a:solidFill>
                <a:srgbClr val="FF0000"/>
              </a:solidFill>
            </a:ln>
          </c:spPr>
          <c:marker>
            <c:symbol val="none"/>
          </c:marker>
          <c:dLbls>
            <c:txPr>
              <a:bodyPr/>
              <a:lstStyle/>
              <a:p>
                <a:pPr>
                  <a:defRPr sz="1200">
                    <a:solidFill>
                      <a:srgbClr val="FF0000"/>
                    </a:solidFill>
                  </a:defRPr>
                </a:pPr>
                <a:endParaRPr lang="da-DK"/>
              </a:p>
            </c:txPr>
            <c:dLblPos val="t"/>
            <c:showVal val="1"/>
          </c:dLbls>
          <c:cat>
            <c:strRef>
              <c:f>'2025'!$C$3:$U$3</c:f>
              <c:strCache>
                <c:ptCount val="19"/>
                <c:pt idx="0">
                  <c:v>Jan</c:v>
                </c:pt>
                <c:pt idx="1">
                  <c:v>Feb</c:v>
                </c:pt>
                <c:pt idx="2">
                  <c:v>Mar</c:v>
                </c:pt>
                <c:pt idx="4">
                  <c:v>Apr</c:v>
                </c:pt>
                <c:pt idx="5">
                  <c:v>Maj</c:v>
                </c:pt>
                <c:pt idx="6">
                  <c:v>Jun</c:v>
                </c:pt>
                <c:pt idx="8">
                  <c:v>Jul</c:v>
                </c:pt>
                <c:pt idx="9">
                  <c:v>Aug</c:v>
                </c:pt>
                <c:pt idx="10">
                  <c:v>Sep</c:v>
                </c:pt>
                <c:pt idx="12">
                  <c:v>Okt</c:v>
                </c:pt>
                <c:pt idx="13">
                  <c:v>Nov</c:v>
                </c:pt>
                <c:pt idx="14">
                  <c:v>Dec</c:v>
                </c:pt>
                <c:pt idx="16">
                  <c:v>Min</c:v>
                </c:pt>
                <c:pt idx="17">
                  <c:v>Max</c:v>
                </c:pt>
                <c:pt idx="18">
                  <c:v>AVG</c:v>
                </c:pt>
              </c:strCache>
            </c:strRef>
          </c:cat>
          <c:val>
            <c:numRef>
              <c:f>'2025'!$C$5:$U$5</c:f>
              <c:numCache>
                <c:formatCode>0</c:formatCode>
                <c:ptCount val="19"/>
                <c:pt idx="0">
                  <c:v>191.22</c:v>
                </c:pt>
                <c:pt idx="1">
                  <c:v>157.49</c:v>
                </c:pt>
                <c:pt idx="2">
                  <c:v>174.73</c:v>
                </c:pt>
                <c:pt idx="4">
                  <c:v>165.44</c:v>
                </c:pt>
                <c:pt idx="5">
                  <c:v>183.67</c:v>
                </c:pt>
                <c:pt idx="6">
                  <c:v>183.92</c:v>
                </c:pt>
                <c:pt idx="8">
                  <c:v>180.48</c:v>
                </c:pt>
                <c:pt idx="9">
                  <c:v>159.37</c:v>
                </c:pt>
                <c:pt idx="10">
                  <c:v>153.25</c:v>
                </c:pt>
                <c:pt idx="12">
                  <c:v>120</c:v>
                </c:pt>
                <c:pt idx="13">
                  <c:v>200</c:v>
                </c:pt>
                <c:pt idx="14">
                  <c:v>207</c:v>
                </c:pt>
                <c:pt idx="16">
                  <c:v>120</c:v>
                </c:pt>
                <c:pt idx="17">
                  <c:v>207</c:v>
                </c:pt>
                <c:pt idx="18">
                  <c:v>163.5</c:v>
                </c:pt>
              </c:numCache>
            </c:numRef>
          </c:val>
        </c:ser>
        <c:marker val="1"/>
        <c:axId val="135159168"/>
        <c:axId val="135157632"/>
      </c:lineChart>
      <c:catAx>
        <c:axId val="135137152"/>
        <c:scaling>
          <c:orientation val="minMax"/>
        </c:scaling>
        <c:axPos val="b"/>
        <c:majorGridlines/>
        <c:title>
          <c:tx>
            <c:strRef>
              <c:f>'2025'!$B$3</c:f>
              <c:strCache>
                <c:ptCount val="1"/>
                <c:pt idx="0">
                  <c:v>2025</c:v>
                </c:pt>
              </c:strCache>
            </c:strRef>
          </c:tx>
          <c:layout>
            <c:manualLayout>
              <c:xMode val="edge"/>
              <c:yMode val="edge"/>
              <c:x val="0.43361323874727081"/>
              <c:y val="0.92931920371233256"/>
            </c:manualLayout>
          </c:layout>
          <c:txPr>
            <a:bodyPr/>
            <a:lstStyle/>
            <a:p>
              <a:pPr>
                <a:defRPr sz="1600"/>
              </a:pPr>
              <a:endParaRPr lang="da-DK"/>
            </a:p>
          </c:txPr>
        </c:title>
        <c:numFmt formatCode="0" sourceLinked="1"/>
        <c:majorTickMark val="none"/>
        <c:tickLblPos val="nextTo"/>
        <c:txPr>
          <a:bodyPr rot="0" vert="horz"/>
          <a:lstStyle/>
          <a:p>
            <a:pPr>
              <a:defRPr sz="1200" b="0" i="0" u="none" strike="noStrike" baseline="0">
                <a:solidFill>
                  <a:srgbClr val="000000"/>
                </a:solidFill>
                <a:latin typeface="Arial"/>
                <a:ea typeface="Arial"/>
                <a:cs typeface="Arial"/>
              </a:defRPr>
            </a:pPr>
            <a:endParaRPr lang="da-DK"/>
          </a:p>
        </c:txPr>
        <c:crossAx val="135155712"/>
        <c:crosses val="autoZero"/>
        <c:auto val="1"/>
        <c:lblAlgn val="ctr"/>
        <c:lblOffset val="100"/>
        <c:tickLblSkip val="1"/>
        <c:tickMarkSkip val="1"/>
      </c:catAx>
      <c:valAx>
        <c:axId val="135155712"/>
        <c:scaling>
          <c:orientation val="minMax"/>
          <c:max val="2000"/>
        </c:scaling>
        <c:axPos val="l"/>
        <c:majorGridlines/>
        <c:title>
          <c:tx>
            <c:strRef>
              <c:f>'2025'!$B$4:$B$5</c:f>
              <c:strCache>
                <c:ptCount val="1"/>
                <c:pt idx="0">
                  <c:v>Pris i DKK Forbrug i kWh</c:v>
                </c:pt>
              </c:strCache>
            </c:strRef>
          </c:tx>
          <c:layout>
            <c:manualLayout>
              <c:xMode val="edge"/>
              <c:yMode val="edge"/>
              <c:x val="1.7822128654820607E-2"/>
              <c:y val="0.27069831129206406"/>
            </c:manualLayout>
          </c:layout>
          <c:txPr>
            <a:bodyPr/>
            <a:lstStyle/>
            <a:p>
              <a:pPr>
                <a:defRPr sz="1600">
                  <a:solidFill>
                    <a:sysClr val="windowText" lastClr="000000"/>
                  </a:solidFill>
                </a:defRPr>
              </a:pPr>
              <a:endParaRPr lang="da-DK"/>
            </a:p>
          </c:txPr>
        </c:title>
        <c:numFmt formatCode="&quot;kr.&quot;\ #,##0" sourceLinked="1"/>
        <c:tickLblPos val="nextTo"/>
        <c:spPr>
          <a:ln>
            <a:solidFill>
              <a:schemeClr val="tx2">
                <a:lumMod val="60000"/>
                <a:lumOff val="40000"/>
              </a:schemeClr>
            </a:solidFill>
          </a:ln>
        </c:spPr>
        <c:txPr>
          <a:bodyPr rot="0" vert="horz"/>
          <a:lstStyle/>
          <a:p>
            <a:pPr>
              <a:defRPr sz="1200" b="0" i="0" u="none" strike="noStrike" baseline="0">
                <a:solidFill>
                  <a:schemeClr val="tx2">
                    <a:lumMod val="60000"/>
                    <a:lumOff val="40000"/>
                  </a:schemeClr>
                </a:solidFill>
                <a:latin typeface="Arial"/>
                <a:ea typeface="Arial"/>
                <a:cs typeface="Arial"/>
              </a:defRPr>
            </a:pPr>
            <a:endParaRPr lang="da-DK"/>
          </a:p>
        </c:txPr>
        <c:crossAx val="135137152"/>
        <c:crosses val="autoZero"/>
        <c:crossBetween val="midCat"/>
      </c:valAx>
      <c:valAx>
        <c:axId val="135157632"/>
        <c:scaling>
          <c:orientation val="minMax"/>
        </c:scaling>
        <c:axPos val="r"/>
        <c:majorGridlines/>
        <c:numFmt formatCode="0" sourceLinked="1"/>
        <c:tickLblPos val="nextTo"/>
        <c:txPr>
          <a:bodyPr/>
          <a:lstStyle/>
          <a:p>
            <a:pPr>
              <a:defRPr sz="1200" baseline="0">
                <a:solidFill>
                  <a:srgbClr val="FF0000"/>
                </a:solidFill>
              </a:defRPr>
            </a:pPr>
            <a:endParaRPr lang="da-DK"/>
          </a:p>
        </c:txPr>
        <c:crossAx val="135159168"/>
        <c:crosses val="max"/>
        <c:crossBetween val="between"/>
      </c:valAx>
      <c:catAx>
        <c:axId val="135159168"/>
        <c:scaling>
          <c:orientation val="minMax"/>
        </c:scaling>
        <c:delete val="1"/>
        <c:axPos val="b"/>
        <c:tickLblPos val="none"/>
        <c:crossAx val="135157632"/>
        <c:crosses val="autoZero"/>
        <c:auto val="1"/>
        <c:lblAlgn val="ctr"/>
        <c:lblOffset val="100"/>
      </c:catAx>
      <c:spPr>
        <a:solidFill>
          <a:schemeClr val="bg1">
            <a:lumMod val="85000"/>
          </a:schemeClr>
        </a:solidFill>
        <a:ln w="12700">
          <a:solidFill>
            <a:srgbClr val="808080"/>
          </a:solidFill>
          <a:prstDash val="solid"/>
        </a:ln>
      </c:spPr>
    </c:plotArea>
    <c:legend>
      <c:legendPos val="r"/>
      <c:legendEntry>
        <c:idx val="0"/>
        <c:txPr>
          <a:bodyPr/>
          <a:lstStyle/>
          <a:p>
            <a:pPr>
              <a:defRPr sz="1400">
                <a:solidFill>
                  <a:srgbClr val="00B050"/>
                </a:solidFill>
              </a:defRPr>
            </a:pPr>
            <a:endParaRPr lang="da-DK"/>
          </a:p>
        </c:txPr>
      </c:legendEntry>
      <c:legendEntry>
        <c:idx val="1"/>
        <c:txPr>
          <a:bodyPr/>
          <a:lstStyle/>
          <a:p>
            <a:pPr>
              <a:defRPr sz="1400">
                <a:solidFill>
                  <a:srgbClr val="FF0000"/>
                </a:solidFill>
              </a:defRPr>
            </a:pPr>
            <a:endParaRPr lang="da-DK"/>
          </a:p>
        </c:txPr>
      </c:legendEntry>
      <c:layout>
        <c:manualLayout>
          <c:xMode val="edge"/>
          <c:yMode val="edge"/>
          <c:x val="0.8638375680411946"/>
          <c:y val="0.27963377683236834"/>
          <c:w val="0.11598270661095882"/>
          <c:h val="0.46201152690966202"/>
        </c:manualLayout>
      </c:layout>
      <c:txPr>
        <a:bodyPr/>
        <a:lstStyle/>
        <a:p>
          <a:pPr>
            <a:defRPr sz="1400"/>
          </a:pPr>
          <a:endParaRPr lang="da-DK"/>
        </a:p>
      </c:txPr>
    </c:legend>
    <c:plotVisOnly val="1"/>
    <c:dispBlanksAs val="span"/>
  </c:chart>
  <c:spPr>
    <a:ln w="3175">
      <a:solidFill>
        <a:srgbClr val="000000"/>
      </a:solidFill>
      <a:prstDash val="solid"/>
    </a:ln>
  </c:spPr>
  <c:txPr>
    <a:bodyPr/>
    <a:lstStyle/>
    <a:p>
      <a:pPr>
        <a:defRPr sz="1950" b="0" i="0" u="none" strike="noStrike" baseline="0">
          <a:solidFill>
            <a:srgbClr val="000000"/>
          </a:solidFill>
          <a:latin typeface="Arial"/>
          <a:ea typeface="Arial"/>
          <a:cs typeface="Arial"/>
        </a:defRPr>
      </a:pPr>
      <a:endParaRPr lang="da-DK"/>
    </a:p>
  </c:txPr>
  <c:printSettings>
    <c:headerFooter alignWithMargins="0">
      <c:oddFooter>&amp;F</c:oddFooter>
    </c:headerFooter>
    <c:pageMargins b="0.75000000000000189" l="0.70000000000000062" r="0.70000000000000062" t="0.75000000000000189" header="0.51181102362204722" footer="0.51181102362204722"/>
    <c:pageSetup orientation="landscape" horizontalDpi="300" verticalDpi="3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11906</xdr:colOff>
      <xdr:row>37</xdr:row>
      <xdr:rowOff>226219</xdr:rowOff>
    </xdr:from>
    <xdr:to>
      <xdr:col>10</xdr:col>
      <xdr:colOff>1012031</xdr:colOff>
      <xdr:row>58</xdr:row>
      <xdr:rowOff>214314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23814</xdr:colOff>
      <xdr:row>37</xdr:row>
      <xdr:rowOff>226217</xdr:rowOff>
    </xdr:from>
    <xdr:to>
      <xdr:col>21</xdr:col>
      <xdr:colOff>1</xdr:colOff>
      <xdr:row>58</xdr:row>
      <xdr:rowOff>226217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26193</xdr:colOff>
      <xdr:row>38</xdr:row>
      <xdr:rowOff>28574</xdr:rowOff>
    </xdr:from>
    <xdr:to>
      <xdr:col>11</xdr:col>
      <xdr:colOff>11906</xdr:colOff>
      <xdr:row>58</xdr:row>
      <xdr:rowOff>214312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83344</xdr:colOff>
      <xdr:row>38</xdr:row>
      <xdr:rowOff>23813</xdr:rowOff>
    </xdr:from>
    <xdr:to>
      <xdr:col>21</xdr:col>
      <xdr:colOff>0</xdr:colOff>
      <xdr:row>58</xdr:row>
      <xdr:rowOff>202406</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26193</xdr:colOff>
      <xdr:row>38</xdr:row>
      <xdr:rowOff>28574</xdr:rowOff>
    </xdr:from>
    <xdr:to>
      <xdr:col>11</xdr:col>
      <xdr:colOff>11906</xdr:colOff>
      <xdr:row>58</xdr:row>
      <xdr:rowOff>214312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83344</xdr:colOff>
      <xdr:row>38</xdr:row>
      <xdr:rowOff>23813</xdr:rowOff>
    </xdr:from>
    <xdr:to>
      <xdr:col>21</xdr:col>
      <xdr:colOff>0</xdr:colOff>
      <xdr:row>58</xdr:row>
      <xdr:rowOff>202406</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26193</xdr:colOff>
      <xdr:row>38</xdr:row>
      <xdr:rowOff>28574</xdr:rowOff>
    </xdr:from>
    <xdr:to>
      <xdr:col>11</xdr:col>
      <xdr:colOff>11906</xdr:colOff>
      <xdr:row>58</xdr:row>
      <xdr:rowOff>214312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83344</xdr:colOff>
      <xdr:row>38</xdr:row>
      <xdr:rowOff>23813</xdr:rowOff>
    </xdr:from>
    <xdr:to>
      <xdr:col>21</xdr:col>
      <xdr:colOff>0</xdr:colOff>
      <xdr:row>58</xdr:row>
      <xdr:rowOff>202406</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26193</xdr:colOff>
      <xdr:row>38</xdr:row>
      <xdr:rowOff>28574</xdr:rowOff>
    </xdr:from>
    <xdr:to>
      <xdr:col>11</xdr:col>
      <xdr:colOff>11906</xdr:colOff>
      <xdr:row>58</xdr:row>
      <xdr:rowOff>214312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83344</xdr:colOff>
      <xdr:row>38</xdr:row>
      <xdr:rowOff>23813</xdr:rowOff>
    </xdr:from>
    <xdr:to>
      <xdr:col>21</xdr:col>
      <xdr:colOff>0</xdr:colOff>
      <xdr:row>58</xdr:row>
      <xdr:rowOff>202406</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lter-lystfisker.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AD34"/>
  <sheetViews>
    <sheetView tabSelected="1" workbookViewId="0"/>
  </sheetViews>
  <sheetFormatPr defaultRowHeight="21"/>
  <cols>
    <col min="1" max="1" width="3.7109375" style="86" customWidth="1"/>
    <col min="2" max="8" width="9.140625" style="86"/>
    <col min="9" max="9" width="11.85546875" style="86" bestFit="1" customWidth="1"/>
    <col min="10" max="29" width="9.140625" style="86"/>
    <col min="30" max="30" width="3.7109375" style="86" customWidth="1"/>
    <col min="31" max="16384" width="9.140625" style="86"/>
  </cols>
  <sheetData>
    <row r="1" spans="1:30" ht="47.25" customHeight="1" thickBot="1">
      <c r="A1" s="87"/>
      <c r="B1" s="160" t="s">
        <v>64</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87"/>
    </row>
    <row r="2" spans="1:30" ht="27.95" customHeight="1" thickBot="1">
      <c r="A2" s="87"/>
      <c r="B2" s="89" t="s">
        <v>79</v>
      </c>
      <c r="C2" s="88"/>
      <c r="D2" s="88"/>
      <c r="E2" s="88"/>
      <c r="F2" s="88"/>
      <c r="G2" s="161" t="s">
        <v>100</v>
      </c>
      <c r="H2" s="162"/>
      <c r="I2" s="162"/>
      <c r="J2" s="162"/>
      <c r="K2" s="162"/>
      <c r="L2" s="162"/>
      <c r="M2" s="162"/>
      <c r="N2" s="163"/>
      <c r="O2" s="88"/>
      <c r="P2" s="88"/>
      <c r="Q2" s="88"/>
      <c r="R2" s="88"/>
      <c r="S2" s="88"/>
      <c r="T2" s="88"/>
      <c r="U2" s="88"/>
      <c r="V2" s="88"/>
      <c r="W2" s="88"/>
      <c r="X2" s="88"/>
      <c r="Y2" s="88"/>
      <c r="Z2" s="88"/>
      <c r="AA2" s="88"/>
      <c r="AB2" s="88"/>
      <c r="AC2" s="88"/>
      <c r="AD2" s="87"/>
    </row>
    <row r="3" spans="1:30" ht="27.95" customHeight="1" thickBot="1">
      <c r="A3" s="87"/>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7"/>
    </row>
    <row r="4" spans="1:30" ht="27.95" customHeight="1" thickBot="1">
      <c r="A4" s="87"/>
      <c r="B4" s="89" t="s">
        <v>78</v>
      </c>
      <c r="C4" s="89"/>
      <c r="D4" s="89"/>
      <c r="E4" s="89"/>
      <c r="F4" s="89"/>
      <c r="G4" s="161" t="s">
        <v>58</v>
      </c>
      <c r="H4" s="162"/>
      <c r="I4" s="162"/>
      <c r="J4" s="162"/>
      <c r="K4" s="162"/>
      <c r="L4" s="162"/>
      <c r="M4" s="162"/>
      <c r="N4" s="163"/>
      <c r="O4" s="88" t="s">
        <v>103</v>
      </c>
      <c r="P4" s="88"/>
      <c r="Q4" s="88"/>
      <c r="R4" s="88"/>
      <c r="S4" s="88"/>
      <c r="T4" s="88"/>
      <c r="U4" s="88"/>
      <c r="V4" s="88"/>
      <c r="W4" s="88"/>
      <c r="X4" s="88"/>
      <c r="Y4" s="88"/>
      <c r="Z4" s="88"/>
      <c r="AA4" s="88"/>
      <c r="AB4" s="88"/>
      <c r="AC4" s="88"/>
      <c r="AD4" s="87"/>
    </row>
    <row r="5" spans="1:30" ht="27.95" customHeight="1">
      <c r="A5" s="87"/>
      <c r="B5" s="89"/>
      <c r="C5" s="89"/>
      <c r="D5" s="89"/>
      <c r="E5" s="89"/>
      <c r="F5" s="89"/>
      <c r="G5" s="156"/>
      <c r="H5" s="156"/>
      <c r="I5" s="156"/>
      <c r="J5" s="156"/>
      <c r="K5" s="156"/>
      <c r="L5" s="156"/>
      <c r="M5" s="156"/>
      <c r="N5" s="156"/>
      <c r="O5" s="88"/>
      <c r="P5" s="88"/>
      <c r="Q5" s="88"/>
      <c r="R5" s="88"/>
      <c r="S5" s="88"/>
      <c r="T5" s="88"/>
      <c r="U5" s="88"/>
      <c r="V5" s="88"/>
      <c r="W5" s="88"/>
      <c r="X5" s="88"/>
      <c r="Y5" s="88"/>
      <c r="Z5" s="88"/>
      <c r="AA5" s="88"/>
      <c r="AB5" s="88"/>
      <c r="AC5" s="88"/>
      <c r="AD5" s="87"/>
    </row>
    <row r="6" spans="1:30" ht="27.95" customHeight="1">
      <c r="A6" s="87"/>
      <c r="B6" s="88" t="s">
        <v>102</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7"/>
    </row>
    <row r="7" spans="1:30" ht="27.95" customHeight="1">
      <c r="A7" s="87"/>
      <c r="B7" s="88" t="s">
        <v>67</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7"/>
    </row>
    <row r="8" spans="1:30" ht="27.95" customHeight="1">
      <c r="A8" s="87"/>
      <c r="B8" s="88" t="s">
        <v>76</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7"/>
    </row>
    <row r="9" spans="1:30" ht="27.95" customHeight="1">
      <c r="A9" s="87"/>
      <c r="B9" s="88" t="s">
        <v>77</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7"/>
    </row>
    <row r="10" spans="1:30" ht="27.95" customHeight="1">
      <c r="A10" s="87"/>
      <c r="B10" s="88" t="s">
        <v>83</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7"/>
    </row>
    <row r="11" spans="1:30" ht="27.95" customHeight="1">
      <c r="A11" s="87"/>
      <c r="B11" s="88" t="s">
        <v>104</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7"/>
    </row>
    <row r="12" spans="1:30" ht="27.95" customHeight="1">
      <c r="A12" s="87"/>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7"/>
    </row>
    <row r="13" spans="1:30" ht="27.95" customHeight="1">
      <c r="A13" s="87"/>
      <c r="B13" s="88" t="s">
        <v>80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7"/>
    </row>
    <row r="14" spans="1:30" ht="27.95" customHeight="1">
      <c r="A14" s="87"/>
      <c r="B14" s="88" t="s">
        <v>82</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7"/>
    </row>
    <row r="15" spans="1:30" ht="27.95" customHeight="1">
      <c r="A15" s="87"/>
      <c r="B15" s="88" t="s">
        <v>81</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7"/>
    </row>
    <row r="16" spans="1:30" ht="27.9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7"/>
    </row>
    <row r="17" spans="1:30" ht="27.95" customHeight="1">
      <c r="A17" s="87"/>
      <c r="B17" s="88" t="s">
        <v>87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7"/>
    </row>
    <row r="18" spans="1:30" ht="27.95" customHeight="1">
      <c r="A18" s="87"/>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7"/>
    </row>
    <row r="19" spans="1:30" ht="27.95" customHeight="1">
      <c r="A19" s="87"/>
      <c r="B19" s="88" t="s">
        <v>90</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7"/>
    </row>
    <row r="20" spans="1:30" ht="27.95" customHeight="1">
      <c r="A20" s="87"/>
      <c r="B20" s="88" t="s">
        <v>91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7"/>
    </row>
    <row r="21" spans="1:30" ht="27.95" customHeight="1">
      <c r="A21" s="87"/>
      <c r="B21" s="88" t="s">
        <v>101</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7"/>
    </row>
    <row r="22" spans="1:30" ht="27.95" customHeight="1">
      <c r="A22" s="87"/>
      <c r="B22" s="88"/>
      <c r="C22" s="88"/>
      <c r="D22" s="122"/>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7"/>
    </row>
    <row r="23" spans="1:30" ht="27.95" customHeight="1">
      <c r="A23" s="87"/>
      <c r="B23" s="88" t="s">
        <v>95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7"/>
    </row>
    <row r="24" spans="1:30" ht="27.95" customHeight="1">
      <c r="A24" s="87"/>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7"/>
    </row>
    <row r="25" spans="1:30" ht="27.95" customHeight="1">
      <c r="A25" s="87"/>
      <c r="B25" s="88" t="s">
        <v>94</v>
      </c>
      <c r="C25" s="88"/>
      <c r="D25" s="88"/>
      <c r="E25" s="88"/>
      <c r="F25" s="88"/>
      <c r="G25" s="88"/>
      <c r="H25" s="88"/>
      <c r="I25" s="88"/>
      <c r="J25" s="88"/>
      <c r="K25" s="88"/>
      <c r="L25" s="88"/>
      <c r="M25" s="88"/>
      <c r="N25" s="88"/>
      <c r="O25" s="88"/>
      <c r="P25" s="123"/>
      <c r="Q25" s="88"/>
      <c r="R25" s="88"/>
      <c r="S25" s="88"/>
      <c r="T25" s="88"/>
      <c r="U25" s="88"/>
      <c r="V25" s="88"/>
      <c r="W25" s="88"/>
      <c r="X25" s="88"/>
      <c r="Y25" s="88"/>
      <c r="Z25" s="88"/>
      <c r="AA25" s="88"/>
      <c r="AB25" s="88"/>
      <c r="AC25" s="88"/>
      <c r="AD25" s="87"/>
    </row>
    <row r="26" spans="1:30" ht="27.95" customHeight="1">
      <c r="A26" s="87"/>
      <c r="B26" s="88" t="s">
        <v>99</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7"/>
    </row>
    <row r="27" spans="1:30" ht="27.95" customHeigh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7"/>
    </row>
    <row r="28" spans="1:30" ht="27.95" customHeight="1">
      <c r="A28" s="87"/>
      <c r="B28" s="88"/>
      <c r="C28" s="88"/>
      <c r="D28" s="88"/>
      <c r="E28" s="88"/>
      <c r="F28" s="88"/>
      <c r="G28" s="88"/>
      <c r="H28" s="88"/>
      <c r="I28" s="88"/>
      <c r="J28" s="88"/>
      <c r="K28" s="88"/>
      <c r="L28" s="88"/>
      <c r="M28" s="157" t="s">
        <v>98</v>
      </c>
      <c r="N28" s="157"/>
      <c r="O28" s="157"/>
      <c r="P28" s="157"/>
      <c r="Q28" s="157"/>
      <c r="R28" s="88"/>
      <c r="S28" s="88"/>
      <c r="T28" s="88"/>
      <c r="U28" s="88"/>
      <c r="V28" s="88"/>
      <c r="W28" s="88"/>
      <c r="X28" s="88"/>
      <c r="Y28" s="88"/>
      <c r="Z28" s="88"/>
      <c r="AA28" s="88"/>
      <c r="AB28" s="88"/>
      <c r="AC28" s="88"/>
      <c r="AD28" s="87"/>
    </row>
    <row r="29" spans="1:30" ht="27.95" customHeight="1">
      <c r="A29" s="87"/>
      <c r="B29" s="88"/>
      <c r="C29" s="88"/>
      <c r="D29" s="88"/>
      <c r="E29" s="88"/>
      <c r="F29" s="88"/>
      <c r="G29" s="88"/>
      <c r="H29" s="88"/>
      <c r="I29" s="88"/>
      <c r="J29" s="88"/>
      <c r="K29" s="88"/>
      <c r="L29" s="88"/>
      <c r="M29" s="158" t="s">
        <v>96</v>
      </c>
      <c r="N29" s="158"/>
      <c r="O29" s="158"/>
      <c r="P29" s="158"/>
      <c r="Q29" s="158"/>
      <c r="R29" s="88"/>
      <c r="S29" s="88"/>
      <c r="T29" s="88"/>
      <c r="U29" s="88"/>
      <c r="V29" s="88"/>
      <c r="W29" s="88"/>
      <c r="X29" s="88"/>
      <c r="Y29" s="88"/>
      <c r="Z29" s="88"/>
      <c r="AA29" s="88"/>
      <c r="AB29" s="88"/>
      <c r="AC29" s="88"/>
      <c r="AD29" s="87"/>
    </row>
    <row r="30" spans="1:30" ht="27.95" customHeight="1">
      <c r="A30" s="87"/>
      <c r="B30" s="88"/>
      <c r="C30" s="88"/>
      <c r="D30" s="88"/>
      <c r="E30" s="88"/>
      <c r="F30" s="88"/>
      <c r="G30" s="88"/>
      <c r="H30" s="88"/>
      <c r="I30" s="88"/>
      <c r="J30" s="88"/>
      <c r="K30" s="88"/>
      <c r="L30" s="88"/>
      <c r="M30" s="159" t="s">
        <v>97</v>
      </c>
      <c r="N30" s="159"/>
      <c r="O30" s="159"/>
      <c r="P30" s="159"/>
      <c r="Q30" s="159"/>
      <c r="R30" s="88"/>
      <c r="S30" s="88"/>
      <c r="T30" s="88"/>
      <c r="U30" s="88"/>
      <c r="V30" s="88"/>
      <c r="W30" s="88"/>
      <c r="X30" s="88"/>
      <c r="Y30" s="88"/>
      <c r="Z30" s="88"/>
      <c r="AA30" s="88"/>
      <c r="AB30" s="88"/>
      <c r="AC30" s="88"/>
      <c r="AD30" s="87"/>
    </row>
    <row r="31" spans="1:30" ht="27.95" customHeight="1">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7"/>
    </row>
    <row r="32" spans="1:30" ht="27.95" customHeight="1">
      <c r="A32" s="87"/>
      <c r="B32" s="88" t="s">
        <v>92</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7"/>
    </row>
    <row r="33" spans="1:30" ht="27.95" customHeight="1">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7"/>
    </row>
    <row r="34" spans="1:30" ht="27.95" customHeight="1">
      <c r="A34" s="87"/>
      <c r="B34" s="87" t="s">
        <v>65</v>
      </c>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t="s">
        <v>66</v>
      </c>
      <c r="AC34" s="87"/>
      <c r="AD34" s="87"/>
    </row>
  </sheetData>
  <sheetProtection password="D5AA" sheet="1" objects="1" scenarios="1"/>
  <mergeCells count="6">
    <mergeCell ref="M28:Q28"/>
    <mergeCell ref="M29:Q29"/>
    <mergeCell ref="M30:Q30"/>
    <mergeCell ref="B1:AC1"/>
    <mergeCell ref="G2:N2"/>
    <mergeCell ref="G4:N4"/>
  </mergeCells>
  <hyperlinks>
    <hyperlink ref="M29" r:id="rId1"/>
  </hyperlinks>
  <printOptions horizontalCentered="1" verticalCentered="1"/>
  <pageMargins left="0.51181102362204722" right="0" top="0" bottom="0" header="0" footer="0.31496062992125984"/>
  <pageSetup paperSize="9" scale="52" orientation="landscape" r:id="rId2"/>
  <headerFooter>
    <oddFooter>&amp;A</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AF54"/>
  <sheetViews>
    <sheetView zoomScale="80" zoomScaleNormal="80" workbookViewId="0"/>
  </sheetViews>
  <sheetFormatPr defaultRowHeight="18.75"/>
  <cols>
    <col min="1" max="1" width="2.7109375" style="1" customWidth="1"/>
    <col min="2" max="2" width="23.140625" style="1" customWidth="1"/>
    <col min="3" max="4" width="15.7109375" style="1" customWidth="1"/>
    <col min="5" max="5" width="17" style="1" customWidth="1"/>
    <col min="6" max="6" width="16.28515625" style="1" customWidth="1"/>
    <col min="7" max="8" width="15.7109375" style="1" customWidth="1"/>
    <col min="9" max="9" width="17.140625" style="1" customWidth="1"/>
    <col min="10" max="10" width="16.28515625" style="1" customWidth="1"/>
    <col min="11" max="12" width="15.7109375" style="1" customWidth="1"/>
    <col min="13" max="13" width="17.140625" style="1" customWidth="1"/>
    <col min="14" max="14" width="16.28515625" style="1" customWidth="1"/>
    <col min="15" max="16" width="15.7109375" style="1" customWidth="1"/>
    <col min="17" max="17" width="17.140625" style="1" customWidth="1"/>
    <col min="18" max="18" width="16.28515625" style="1" customWidth="1"/>
    <col min="19" max="20" width="14.7109375" style="1" customWidth="1"/>
    <col min="21" max="21" width="16.140625" style="1" bestFit="1" customWidth="1"/>
    <col min="22" max="22" width="3.7109375" style="1" customWidth="1"/>
    <col min="23" max="23" width="50.7109375" style="1" customWidth="1"/>
    <col min="24" max="24" width="15" style="1" bestFit="1" customWidth="1"/>
    <col min="25" max="26" width="15.7109375" style="1" customWidth="1"/>
    <col min="27" max="27" width="9.85546875" style="1" bestFit="1" customWidth="1"/>
    <col min="28" max="29" width="15.7109375" style="1" customWidth="1"/>
    <col min="30" max="30" width="24.7109375" style="1" bestFit="1" customWidth="1"/>
    <col min="31" max="16384" width="9.140625" style="1"/>
  </cols>
  <sheetData>
    <row r="1" spans="2:32" ht="18.75" customHeight="1">
      <c r="B1" s="210" t="str">
        <f>CONCATENATE("EL forbrug i ",Manual!G2," fra den ",W2,X2)</f>
        <v>EL forbrug i Storegade 6, 2. sal, th. fra den 1. januar til den 31. december 2021</v>
      </c>
      <c r="C1" s="211"/>
      <c r="D1" s="211"/>
      <c r="E1" s="211"/>
      <c r="F1" s="211"/>
      <c r="G1" s="211"/>
      <c r="H1" s="211"/>
      <c r="I1" s="211"/>
      <c r="J1" s="211"/>
      <c r="K1" s="211"/>
      <c r="L1" s="211"/>
      <c r="M1" s="211"/>
      <c r="N1" s="211"/>
      <c r="O1" s="211"/>
      <c r="P1" s="211"/>
      <c r="Q1" s="211"/>
      <c r="R1" s="211"/>
      <c r="S1" s="211"/>
      <c r="T1" s="211"/>
      <c r="U1" s="212"/>
    </row>
    <row r="2" spans="2:32" ht="27" customHeight="1" thickBot="1">
      <c r="B2" s="213"/>
      <c r="C2" s="214"/>
      <c r="D2" s="214"/>
      <c r="E2" s="214"/>
      <c r="F2" s="214"/>
      <c r="G2" s="214"/>
      <c r="H2" s="214"/>
      <c r="I2" s="214"/>
      <c r="J2" s="214"/>
      <c r="K2" s="214"/>
      <c r="L2" s="214"/>
      <c r="M2" s="214"/>
      <c r="N2" s="214"/>
      <c r="O2" s="214"/>
      <c r="P2" s="214"/>
      <c r="Q2" s="214"/>
      <c r="R2" s="214"/>
      <c r="S2" s="214"/>
      <c r="T2" s="214"/>
      <c r="U2" s="215"/>
      <c r="W2" s="90" t="s">
        <v>68</v>
      </c>
      <c r="X2" s="34">
        <f>+B3</f>
        <v>2021</v>
      </c>
    </row>
    <row r="3" spans="2:32">
      <c r="B3" s="124">
        <v>2021</v>
      </c>
      <c r="C3" s="91" t="s">
        <v>0</v>
      </c>
      <c r="D3" s="92" t="s">
        <v>1</v>
      </c>
      <c r="E3" s="200" t="s">
        <v>2</v>
      </c>
      <c r="F3" s="201"/>
      <c r="G3" s="91" t="s">
        <v>3</v>
      </c>
      <c r="H3" s="92" t="s">
        <v>4</v>
      </c>
      <c r="I3" s="200" t="s">
        <v>5</v>
      </c>
      <c r="J3" s="201"/>
      <c r="K3" s="91" t="s">
        <v>6</v>
      </c>
      <c r="L3" s="92" t="s">
        <v>7</v>
      </c>
      <c r="M3" s="190" t="s">
        <v>8</v>
      </c>
      <c r="N3" s="196"/>
      <c r="O3" s="93" t="s">
        <v>9</v>
      </c>
      <c r="P3" s="92" t="s">
        <v>10</v>
      </c>
      <c r="Q3" s="190" t="s">
        <v>11</v>
      </c>
      <c r="R3" s="191"/>
      <c r="S3" s="91" t="s">
        <v>12</v>
      </c>
      <c r="T3" s="92" t="s">
        <v>13</v>
      </c>
      <c r="U3" s="94" t="s">
        <v>55</v>
      </c>
    </row>
    <row r="4" spans="2:32">
      <c r="B4" s="53" t="s">
        <v>63</v>
      </c>
      <c r="C4" s="55">
        <f>C5*$F$31</f>
        <v>252.28262275016823</v>
      </c>
      <c r="D4" s="56">
        <f>D5*$F$31</f>
        <v>387.52168730555712</v>
      </c>
      <c r="E4" s="180">
        <f>E5*$F$31</f>
        <v>449.44485811651208</v>
      </c>
      <c r="F4" s="181"/>
      <c r="G4" s="57">
        <f>G5*$J$31</f>
        <v>382.55216405071792</v>
      </c>
      <c r="H4" s="58">
        <f t="shared" ref="H4:I4" si="0">H5*$J$31</f>
        <v>422.21186600066289</v>
      </c>
      <c r="I4" s="182">
        <f t="shared" si="0"/>
        <v>377.33432494861904</v>
      </c>
      <c r="J4" s="181"/>
      <c r="K4" s="57">
        <f>K5*$N$31</f>
        <v>428.12882190737287</v>
      </c>
      <c r="L4" s="58">
        <f t="shared" ref="L4:M4" si="1">L5*$N$31</f>
        <v>398.49221496523478</v>
      </c>
      <c r="M4" s="182">
        <f t="shared" si="1"/>
        <v>376.57625562739247</v>
      </c>
      <c r="N4" s="181"/>
      <c r="O4" s="59">
        <f>O5*$R$31</f>
        <v>469.79305923387165</v>
      </c>
      <c r="P4" s="56">
        <f t="shared" ref="P4:Q4" si="2">P5*$R$31</f>
        <v>447.96880474009595</v>
      </c>
      <c r="Q4" s="180">
        <f t="shared" si="2"/>
        <v>478.49677977603221</v>
      </c>
      <c r="R4" s="180"/>
      <c r="S4" s="55">
        <f>S5*$U$31</f>
        <v>276.82420300018975</v>
      </c>
      <c r="T4" s="56">
        <f t="shared" ref="T4:U4" si="3">T5*$U$31</f>
        <v>493.1660107396512</v>
      </c>
      <c r="U4" s="60">
        <f t="shared" si="3"/>
        <v>384.99510686992051</v>
      </c>
      <c r="W4" s="11"/>
    </row>
    <row r="5" spans="2:32" s="109" customFormat="1" ht="19.5" thickBot="1">
      <c r="B5" s="54" t="s">
        <v>14</v>
      </c>
      <c r="C5" s="125">
        <v>124.37</v>
      </c>
      <c r="D5" s="126">
        <v>191.04</v>
      </c>
      <c r="E5" s="202">
        <v>221.56681421258665</v>
      </c>
      <c r="F5" s="203"/>
      <c r="G5" s="125">
        <v>185.49</v>
      </c>
      <c r="H5" s="126">
        <v>204.72</v>
      </c>
      <c r="I5" s="192">
        <v>182.96</v>
      </c>
      <c r="J5" s="197"/>
      <c r="K5" s="125">
        <v>192.42</v>
      </c>
      <c r="L5" s="126">
        <v>179.1</v>
      </c>
      <c r="M5" s="192">
        <v>169.25</v>
      </c>
      <c r="N5" s="197"/>
      <c r="O5" s="128">
        <v>180.82</v>
      </c>
      <c r="P5" s="126">
        <v>172.42</v>
      </c>
      <c r="Q5" s="192">
        <v>184.17</v>
      </c>
      <c r="R5" s="193"/>
      <c r="S5" s="30">
        <f>MIN(C5:Q5)</f>
        <v>124.37</v>
      </c>
      <c r="T5" s="31">
        <f>MAX(C5:Q5)</f>
        <v>221.56681421258665</v>
      </c>
      <c r="U5" s="12">
        <f>AVERAGE(S5:T5)</f>
        <v>172.96840710629334</v>
      </c>
    </row>
    <row r="6" spans="2:32">
      <c r="B6" s="35" t="s">
        <v>61</v>
      </c>
      <c r="C6" s="95">
        <f>C5+D5+E5</f>
        <v>536.97681421258665</v>
      </c>
      <c r="D6" s="85" t="s">
        <v>21</v>
      </c>
      <c r="E6" s="185" t="s">
        <v>42</v>
      </c>
      <c r="F6" s="186"/>
      <c r="G6" s="22">
        <f>G5+H5+I5</f>
        <v>573.17000000000007</v>
      </c>
      <c r="H6" s="85" t="s">
        <v>21</v>
      </c>
      <c r="I6" s="195" t="s">
        <v>42</v>
      </c>
      <c r="J6" s="198"/>
      <c r="K6" s="22">
        <f>K5+L5+M5</f>
        <v>540.77</v>
      </c>
      <c r="L6" s="85" t="s">
        <v>21</v>
      </c>
      <c r="M6" s="194" t="s">
        <v>42</v>
      </c>
      <c r="N6" s="198"/>
      <c r="O6" s="21">
        <f>O5+P5+Q5</f>
        <v>537.41</v>
      </c>
      <c r="P6" s="85" t="s">
        <v>21</v>
      </c>
      <c r="Q6" s="194" t="s">
        <v>42</v>
      </c>
      <c r="R6" s="194"/>
      <c r="S6" s="204" t="s">
        <v>42</v>
      </c>
      <c r="T6" s="205"/>
      <c r="U6" s="29">
        <f>C6+G6+K6+O6</f>
        <v>2188.3268142125867</v>
      </c>
      <c r="W6" s="209" t="s">
        <v>73</v>
      </c>
      <c r="X6" s="209"/>
      <c r="Y6" s="209"/>
      <c r="Z6" s="209"/>
      <c r="AA6" s="209"/>
      <c r="AB6" s="209"/>
      <c r="AC6" s="209"/>
      <c r="AD6" s="209"/>
    </row>
    <row r="7" spans="2:32">
      <c r="B7" s="35" t="s">
        <v>59</v>
      </c>
      <c r="C7" s="129">
        <v>104</v>
      </c>
      <c r="D7" s="85" t="s">
        <v>21</v>
      </c>
      <c r="E7" s="185" t="s">
        <v>41</v>
      </c>
      <c r="F7" s="186"/>
      <c r="G7" s="129">
        <v>124</v>
      </c>
      <c r="H7" s="85" t="s">
        <v>21</v>
      </c>
      <c r="I7" s="185" t="s">
        <v>41</v>
      </c>
      <c r="J7" s="186"/>
      <c r="K7" s="129">
        <v>632</v>
      </c>
      <c r="L7" s="85" t="s">
        <v>21</v>
      </c>
      <c r="M7" s="185" t="s">
        <v>41</v>
      </c>
      <c r="N7" s="186"/>
      <c r="O7" s="130">
        <v>632</v>
      </c>
      <c r="P7" s="85" t="s">
        <v>21</v>
      </c>
      <c r="Q7" s="185" t="s">
        <v>41</v>
      </c>
      <c r="R7" s="195"/>
      <c r="S7" s="199" t="s">
        <v>41</v>
      </c>
      <c r="T7" s="185"/>
      <c r="U7" s="84">
        <f>C7+G7+K7+O7</f>
        <v>1492</v>
      </c>
      <c r="W7" s="2" t="s">
        <v>89</v>
      </c>
    </row>
    <row r="8" spans="2:32">
      <c r="B8" s="35" t="s">
        <v>57</v>
      </c>
      <c r="C8" s="100">
        <f>+ROUND(B12,0)</f>
        <v>-433</v>
      </c>
      <c r="D8" s="80" t="s">
        <v>48</v>
      </c>
      <c r="E8" s="185" t="str">
        <f>CONCATENATE(C8,D8,B13,"a'conto")</f>
        <v>-433 kWh for lidt a'conto</v>
      </c>
      <c r="F8" s="186"/>
      <c r="G8" s="100">
        <f>+ROUND(B16,0)</f>
        <v>-449</v>
      </c>
      <c r="H8" s="80" t="s">
        <v>48</v>
      </c>
      <c r="I8" s="185" t="str">
        <f>CONCATENATE(G8,H8,B17,"a'conto")</f>
        <v>-449 kWh for lidt a'conto</v>
      </c>
      <c r="J8" s="186"/>
      <c r="K8" s="100">
        <f>+ROUND(B20,0)</f>
        <v>91</v>
      </c>
      <c r="L8" s="80" t="s">
        <v>48</v>
      </c>
      <c r="M8" s="185" t="str">
        <f>CONCATENATE(K8,L8,B21,"a'conto")</f>
        <v>91 kWh for meget a'conto</v>
      </c>
      <c r="N8" s="186"/>
      <c r="O8" s="101">
        <f>+ROUND(B24,0)</f>
        <v>95</v>
      </c>
      <c r="P8" s="80" t="s">
        <v>48</v>
      </c>
      <c r="Q8" s="185" t="str">
        <f>CONCATENATE(O8,P8,B25,"a'conto")</f>
        <v>95 kWh for meget a'conto</v>
      </c>
      <c r="R8" s="195"/>
      <c r="S8" s="100">
        <f>+ROUND(B28,0)</f>
        <v>-696</v>
      </c>
      <c r="T8" s="185" t="str">
        <f>CONCATENATE(S8,P8,B29,"a'conto")</f>
        <v>-696 kWh for lidt a'conto</v>
      </c>
      <c r="U8" s="186"/>
      <c r="W8" s="81" t="s">
        <v>43</v>
      </c>
      <c r="X8" s="140">
        <v>1600</v>
      </c>
      <c r="Y8" s="109" t="s">
        <v>44</v>
      </c>
      <c r="Z8" s="109" t="s">
        <v>45</v>
      </c>
      <c r="AA8" s="141">
        <v>2.4</v>
      </c>
      <c r="AB8" s="109" t="s">
        <v>46</v>
      </c>
      <c r="AC8" s="110">
        <f>X8*AA8</f>
        <v>3840</v>
      </c>
      <c r="AD8" s="81" t="s">
        <v>47</v>
      </c>
    </row>
    <row r="9" spans="2:32" ht="19.5" thickBot="1">
      <c r="B9" s="36" t="s">
        <v>60</v>
      </c>
      <c r="C9" s="37">
        <f>C8*F31</f>
        <v>-878.333807596871</v>
      </c>
      <c r="D9" s="187" t="str">
        <f>IF(C8&gt;=0," Betalt for meget, sænk skønnet forbrug "," Betalt for lidt, hæv skønnet forbrug ")</f>
        <v xml:space="preserve"> Betalt for lidt, hæv skønnet forbrug </v>
      </c>
      <c r="E9" s="188"/>
      <c r="F9" s="189"/>
      <c r="G9" s="37">
        <f>G8*J31</f>
        <v>-926.01176159778061</v>
      </c>
      <c r="H9" s="187" t="str">
        <f>IF(G8&gt;=0," Betalt for meget, sænk skønnet forbrug "," Betalt for lidt, hæv skønnet forbrug ")</f>
        <v xml:space="preserve"> Betalt for lidt, hæv skønnet forbrug </v>
      </c>
      <c r="I9" s="188"/>
      <c r="J9" s="189"/>
      <c r="K9" s="37">
        <f>K8*N31</f>
        <v>202.47231469478709</v>
      </c>
      <c r="L9" s="187" t="str">
        <f>IF(K8&gt;=0," Betalt for meget, sænk skønnet forbrug "," Betalt for lidt, hæv skønnet forbrug ")</f>
        <v xml:space="preserve"> Betalt for meget, sænk skønnet forbrug </v>
      </c>
      <c r="M9" s="188"/>
      <c r="N9" s="189"/>
      <c r="O9" s="37">
        <f>O8*R31</f>
        <v>246.82192582246327</v>
      </c>
      <c r="P9" s="187" t="str">
        <f>IF(O8&gt;=0," Betalt for meget, sænk skønnet forbrug "," Betalt for lidt, hæv skønnet forbrug ")</f>
        <v xml:space="preserve"> Betalt for meget, sænk skønnet forbrug </v>
      </c>
      <c r="Q9" s="188"/>
      <c r="R9" s="189"/>
      <c r="S9" s="37">
        <f>C9+G9+K9+O9</f>
        <v>-1355.051328677401</v>
      </c>
      <c r="T9" s="188" t="str">
        <f>IF(S8&gt;=0," Betalt for meget i 2021 "," Betalt for lidt i 2021 ")</f>
        <v xml:space="preserve"> Betalt for lidt i 2021 </v>
      </c>
      <c r="U9" s="189"/>
      <c r="W9" s="220" t="s">
        <v>93</v>
      </c>
      <c r="X9" s="220"/>
      <c r="Y9" s="220"/>
      <c r="Z9" s="220"/>
      <c r="AA9" s="220"/>
      <c r="AB9" s="220"/>
      <c r="AC9" s="220"/>
      <c r="AD9" s="220"/>
      <c r="AE9" s="33"/>
      <c r="AF9" s="33"/>
    </row>
    <row r="10" spans="2:32" ht="19.5" thickBot="1">
      <c r="W10" s="139">
        <v>2</v>
      </c>
      <c r="X10" s="13">
        <f>U6</f>
        <v>2188.3268142125867</v>
      </c>
      <c r="Y10" s="109" t="s">
        <v>44</v>
      </c>
      <c r="Z10" s="109" t="s">
        <v>45</v>
      </c>
      <c r="AA10" s="50">
        <f>U31</f>
        <v>2.2258117150453467</v>
      </c>
      <c r="AB10" s="109" t="s">
        <v>46</v>
      </c>
      <c r="AC10" s="110">
        <f>X10*AA10</f>
        <v>4870.8034594222372</v>
      </c>
      <c r="AD10" s="81"/>
    </row>
    <row r="11" spans="2:32" ht="19.5" thickBot="1">
      <c r="B11" s="8" t="s">
        <v>49</v>
      </c>
      <c r="C11" s="172" t="s">
        <v>34</v>
      </c>
      <c r="D11" s="173"/>
      <c r="E11" s="173"/>
      <c r="F11" s="177"/>
      <c r="G11" s="172" t="s">
        <v>32</v>
      </c>
      <c r="H11" s="173"/>
      <c r="I11" s="173"/>
      <c r="J11" s="177"/>
      <c r="K11" s="172" t="s">
        <v>35</v>
      </c>
      <c r="L11" s="173"/>
      <c r="M11" s="173"/>
      <c r="N11" s="177"/>
      <c r="O11" s="172" t="s">
        <v>36</v>
      </c>
      <c r="P11" s="173"/>
      <c r="Q11" s="173"/>
      <c r="R11" s="177"/>
      <c r="S11" s="172" t="str">
        <f>CONCATENATE("Priser på EL incl. afgifter i ",$B$3)</f>
        <v>Priser på EL incl. afgifter i 2021</v>
      </c>
      <c r="T11" s="173"/>
      <c r="U11" s="177"/>
      <c r="W11" s="108" t="s">
        <v>74</v>
      </c>
      <c r="X11" s="109">
        <f>+W10</f>
        <v>2</v>
      </c>
      <c r="Y11" s="208" t="s">
        <v>70</v>
      </c>
      <c r="Z11" s="208"/>
      <c r="AA11" s="13">
        <f>+X10</f>
        <v>2188.3268142125867</v>
      </c>
      <c r="AB11" s="109" t="s">
        <v>44</v>
      </c>
      <c r="AC11" s="111">
        <f>+AC10</f>
        <v>4870.8034594222372</v>
      </c>
      <c r="AD11" s="1" t="s">
        <v>71</v>
      </c>
    </row>
    <row r="12" spans="2:32">
      <c r="B12" s="76">
        <f>ROUND(C7-C6,0)</f>
        <v>-433</v>
      </c>
      <c r="C12" s="178" t="s">
        <v>15</v>
      </c>
      <c r="D12" s="179"/>
      <c r="E12" s="131">
        <v>0.33210000000000001</v>
      </c>
      <c r="F12" s="7"/>
      <c r="G12" s="178" t="s">
        <v>15</v>
      </c>
      <c r="H12" s="179"/>
      <c r="I12" s="131">
        <v>0.41599999999999998</v>
      </c>
      <c r="J12" s="7"/>
      <c r="K12" s="178" t="s">
        <v>15</v>
      </c>
      <c r="L12" s="179"/>
      <c r="M12" s="131">
        <v>0.53490000000000004</v>
      </c>
      <c r="N12" s="7"/>
      <c r="O12" s="178" t="s">
        <v>15</v>
      </c>
      <c r="P12" s="179"/>
      <c r="Q12" s="131">
        <v>0.77159999999999995</v>
      </c>
      <c r="R12" s="7"/>
      <c r="S12" s="206" t="s">
        <v>54</v>
      </c>
      <c r="T12" s="207"/>
      <c r="U12" s="66">
        <f>U14/U13</f>
        <v>0.51212284276800413</v>
      </c>
      <c r="X12" s="109">
        <v>1</v>
      </c>
      <c r="Y12" s="208" t="s">
        <v>72</v>
      </c>
      <c r="Z12" s="208"/>
      <c r="AA12" s="13">
        <f>AA11/X11</f>
        <v>1094.1634071062933</v>
      </c>
      <c r="AB12" s="109" t="s">
        <v>44</v>
      </c>
      <c r="AC12" s="111">
        <f>AC11/X11</f>
        <v>2435.4017297111186</v>
      </c>
      <c r="AD12" s="1" t="s">
        <v>71</v>
      </c>
    </row>
    <row r="13" spans="2:32" ht="19.5" thickBot="1">
      <c r="B13" s="14" t="str">
        <f>IF(C8&gt;=0," for meget "," for lidt ")</f>
        <v xml:space="preserve"> for lidt </v>
      </c>
      <c r="C13" s="170" t="s">
        <v>37</v>
      </c>
      <c r="D13" s="171"/>
      <c r="E13" s="109" t="s">
        <v>21</v>
      </c>
      <c r="F13" s="83">
        <f>+C6</f>
        <v>536.97681421258665</v>
      </c>
      <c r="G13" s="170" t="s">
        <v>20</v>
      </c>
      <c r="H13" s="171"/>
      <c r="I13" s="109" t="s">
        <v>21</v>
      </c>
      <c r="J13" s="83">
        <f>G6</f>
        <v>573.17000000000007</v>
      </c>
      <c r="K13" s="170" t="s">
        <v>38</v>
      </c>
      <c r="L13" s="171"/>
      <c r="M13" s="109" t="s">
        <v>21</v>
      </c>
      <c r="N13" s="83">
        <f>K6</f>
        <v>540.77</v>
      </c>
      <c r="O13" s="170" t="s">
        <v>39</v>
      </c>
      <c r="P13" s="171"/>
      <c r="Q13" s="109" t="s">
        <v>21</v>
      </c>
      <c r="R13" s="83">
        <f>O6</f>
        <v>537.41</v>
      </c>
      <c r="S13" s="170" t="s">
        <v>53</v>
      </c>
      <c r="T13" s="171"/>
      <c r="U13" s="84">
        <f>F13+J13+N13+R13</f>
        <v>2188.3268142125867</v>
      </c>
      <c r="W13" s="114" t="s">
        <v>75</v>
      </c>
      <c r="X13" s="112"/>
      <c r="Y13" s="112"/>
      <c r="Z13" s="113"/>
      <c r="AA13" s="113"/>
      <c r="AB13" s="116" t="str">
        <f>IF(AC13&gt;=0," mere ","mindre ")</f>
        <v xml:space="preserve">mindre </v>
      </c>
      <c r="AC13" s="115">
        <f>AC12-AC8</f>
        <v>-1404.5982702888814</v>
      </c>
      <c r="AD13" s="113" t="s">
        <v>71</v>
      </c>
    </row>
    <row r="14" spans="2:32" ht="19.5" thickBot="1">
      <c r="C14" s="175" t="s">
        <v>69</v>
      </c>
      <c r="D14" s="176"/>
      <c r="E14" s="9"/>
      <c r="F14" s="107">
        <f>E12*F13</f>
        <v>178.33000000000004</v>
      </c>
      <c r="G14" s="175" t="s">
        <v>69</v>
      </c>
      <c r="H14" s="176"/>
      <c r="I14" s="9"/>
      <c r="J14" s="45">
        <f>I12*J13</f>
        <v>238.43872000000002</v>
      </c>
      <c r="K14" s="175" t="s">
        <v>69</v>
      </c>
      <c r="L14" s="176"/>
      <c r="M14" s="9"/>
      <c r="N14" s="45">
        <f>M12*N13</f>
        <v>289.25787300000002</v>
      </c>
      <c r="O14" s="175" t="s">
        <v>69</v>
      </c>
      <c r="P14" s="176"/>
      <c r="Q14" s="9"/>
      <c r="R14" s="45">
        <f>Q12*R13</f>
        <v>414.66555599999992</v>
      </c>
      <c r="S14" s="175" t="s">
        <v>69</v>
      </c>
      <c r="T14" s="176"/>
      <c r="U14" s="46">
        <f>F14+J14+N14+R14</f>
        <v>1120.692149</v>
      </c>
    </row>
    <row r="15" spans="2:32" ht="19.5" thickBot="1">
      <c r="B15" s="8" t="s">
        <v>50</v>
      </c>
      <c r="C15" s="172" t="s">
        <v>22</v>
      </c>
      <c r="D15" s="173"/>
      <c r="E15" s="173"/>
      <c r="F15" s="177"/>
      <c r="G15" s="172" t="s">
        <v>22</v>
      </c>
      <c r="H15" s="173"/>
      <c r="I15" s="173"/>
      <c r="J15" s="177"/>
      <c r="K15" s="172" t="s">
        <v>22</v>
      </c>
      <c r="L15" s="173"/>
      <c r="M15" s="173"/>
      <c r="N15" s="177"/>
      <c r="O15" s="172" t="s">
        <v>22</v>
      </c>
      <c r="P15" s="173"/>
      <c r="Q15" s="173"/>
      <c r="R15" s="177"/>
      <c r="S15" s="172" t="s">
        <v>22</v>
      </c>
      <c r="T15" s="173"/>
      <c r="U15" s="177"/>
    </row>
    <row r="16" spans="2:32">
      <c r="B16" s="76">
        <f>+ROUND(G7-G6,0)</f>
        <v>-449</v>
      </c>
      <c r="C16" s="178" t="s">
        <v>31</v>
      </c>
      <c r="D16" s="179"/>
      <c r="E16" s="6"/>
      <c r="F16" s="132">
        <v>58.77</v>
      </c>
      <c r="G16" s="178" t="s">
        <v>31</v>
      </c>
      <c r="H16" s="179"/>
      <c r="I16" s="6"/>
      <c r="J16" s="132">
        <v>69.599999999999994</v>
      </c>
      <c r="K16" s="178" t="s">
        <v>31</v>
      </c>
      <c r="L16" s="179"/>
      <c r="M16" s="6"/>
      <c r="N16" s="132">
        <v>69.599999999999994</v>
      </c>
      <c r="O16" s="178" t="s">
        <v>31</v>
      </c>
      <c r="P16" s="179"/>
      <c r="Q16" s="6"/>
      <c r="R16" s="132">
        <v>69.599999999999994</v>
      </c>
      <c r="S16" s="178" t="s">
        <v>31</v>
      </c>
      <c r="T16" s="179"/>
      <c r="U16" s="107">
        <f t="shared" ref="U16:U20" si="4">F16+J16+N16+R16</f>
        <v>267.57</v>
      </c>
    </row>
    <row r="17" spans="2:21" ht="19.5" thickBot="1">
      <c r="B17" s="14" t="str">
        <f>IF(G8&gt;=0," for meget "," for lidt ")</f>
        <v xml:space="preserve"> for lidt </v>
      </c>
      <c r="C17" s="170" t="s">
        <v>16</v>
      </c>
      <c r="D17" s="171"/>
      <c r="E17" s="133">
        <v>0.24160000000000001</v>
      </c>
      <c r="F17" s="98">
        <f>E17*F13</f>
        <v>129.73359831376095</v>
      </c>
      <c r="G17" s="170" t="s">
        <v>16</v>
      </c>
      <c r="H17" s="171"/>
      <c r="I17" s="133">
        <v>0.1716</v>
      </c>
      <c r="J17" s="98">
        <f>I17*J13</f>
        <v>98.355972000000008</v>
      </c>
      <c r="K17" s="170" t="s">
        <v>16</v>
      </c>
      <c r="L17" s="171"/>
      <c r="M17" s="133">
        <v>0.17169999999999999</v>
      </c>
      <c r="N17" s="98">
        <f>M17*N13</f>
        <v>92.850208999999992</v>
      </c>
      <c r="O17" s="170" t="s">
        <v>16</v>
      </c>
      <c r="P17" s="171"/>
      <c r="Q17" s="133">
        <v>0.23810000000000001</v>
      </c>
      <c r="R17" s="98">
        <f>Q17*R13</f>
        <v>127.95732099999999</v>
      </c>
      <c r="S17" s="170" t="s">
        <v>16</v>
      </c>
      <c r="T17" s="171"/>
      <c r="U17" s="107">
        <f t="shared" si="4"/>
        <v>448.89710031376092</v>
      </c>
    </row>
    <row r="18" spans="2:21" ht="19.5" thickBot="1">
      <c r="C18" s="170" t="s">
        <v>17</v>
      </c>
      <c r="D18" s="171"/>
      <c r="E18" s="133">
        <f>-0.1384</f>
        <v>-0.1384</v>
      </c>
      <c r="F18" s="98">
        <f>E18*F13</f>
        <v>-74.317591087021995</v>
      </c>
      <c r="G18" s="170" t="s">
        <v>17</v>
      </c>
      <c r="H18" s="171"/>
      <c r="I18" s="133">
        <f>-0.1324</f>
        <v>-0.13239999999999999</v>
      </c>
      <c r="J18" s="98">
        <f>I18*J13</f>
        <v>-75.887708000000003</v>
      </c>
      <c r="K18" s="170" t="s">
        <v>17</v>
      </c>
      <c r="L18" s="171"/>
      <c r="M18" s="133">
        <f>-0.1324</f>
        <v>-0.13239999999999999</v>
      </c>
      <c r="N18" s="98">
        <f>M18*N13</f>
        <v>-71.597947999999988</v>
      </c>
      <c r="O18" s="170" t="s">
        <v>17</v>
      </c>
      <c r="P18" s="171"/>
      <c r="Q18" s="133">
        <f>-0.1382</f>
        <v>-0.13819999999999999</v>
      </c>
      <c r="R18" s="98">
        <f>Q18*R13</f>
        <v>-74.270061999999996</v>
      </c>
      <c r="S18" s="170" t="s">
        <v>17</v>
      </c>
      <c r="T18" s="171"/>
      <c r="U18" s="107">
        <f t="shared" si="4"/>
        <v>-296.07330908702198</v>
      </c>
    </row>
    <row r="19" spans="2:21">
      <c r="B19" s="8" t="s">
        <v>51</v>
      </c>
      <c r="C19" s="183" t="s">
        <v>18</v>
      </c>
      <c r="D19" s="184"/>
      <c r="E19" s="48"/>
      <c r="F19" s="134">
        <v>61.26</v>
      </c>
      <c r="G19" s="183" t="s">
        <v>18</v>
      </c>
      <c r="H19" s="184"/>
      <c r="I19" s="48"/>
      <c r="J19" s="134">
        <v>72.540000000000006</v>
      </c>
      <c r="K19" s="183" t="s">
        <v>18</v>
      </c>
      <c r="L19" s="184"/>
      <c r="M19" s="48"/>
      <c r="N19" s="134">
        <v>72.540000000000006</v>
      </c>
      <c r="O19" s="183" t="s">
        <v>18</v>
      </c>
      <c r="P19" s="184"/>
      <c r="Q19" s="48"/>
      <c r="R19" s="134">
        <v>72.540000000000006</v>
      </c>
      <c r="S19" s="183" t="s">
        <v>18</v>
      </c>
      <c r="T19" s="184"/>
      <c r="U19" s="107">
        <f t="shared" si="4"/>
        <v>278.88000000000005</v>
      </c>
    </row>
    <row r="20" spans="2:21" ht="19.5" thickBot="1">
      <c r="B20" s="76">
        <f>ROUND(K7-K6,0)</f>
        <v>91</v>
      </c>
      <c r="C20" s="175" t="s">
        <v>19</v>
      </c>
      <c r="D20" s="176"/>
      <c r="E20" s="135">
        <v>0.5</v>
      </c>
      <c r="F20" s="97">
        <f>-E20*F19</f>
        <v>-30.63</v>
      </c>
      <c r="G20" s="175" t="s">
        <v>19</v>
      </c>
      <c r="H20" s="176"/>
      <c r="I20" s="135">
        <v>0.5</v>
      </c>
      <c r="J20" s="97">
        <f>-I20*J19</f>
        <v>-36.270000000000003</v>
      </c>
      <c r="K20" s="175" t="s">
        <v>19</v>
      </c>
      <c r="L20" s="176"/>
      <c r="M20" s="135">
        <v>0.5</v>
      </c>
      <c r="N20" s="97">
        <f>-M20*N19</f>
        <v>-36.270000000000003</v>
      </c>
      <c r="O20" s="175" t="s">
        <v>19</v>
      </c>
      <c r="P20" s="176"/>
      <c r="Q20" s="135">
        <v>0.5</v>
      </c>
      <c r="R20" s="97">
        <f>-Q20*R19</f>
        <v>-36.270000000000003</v>
      </c>
      <c r="S20" s="175" t="s">
        <v>19</v>
      </c>
      <c r="T20" s="176"/>
      <c r="U20" s="107">
        <f t="shared" si="4"/>
        <v>-139.44000000000003</v>
      </c>
    </row>
    <row r="21" spans="2:21" ht="19.5" thickBot="1">
      <c r="B21" s="14" t="str">
        <f>IF(K8&gt;=0," for meget "," for lidt ")</f>
        <v xml:space="preserve"> for meget </v>
      </c>
      <c r="C21" s="172" t="s">
        <v>23</v>
      </c>
      <c r="D21" s="173"/>
      <c r="E21" s="173"/>
      <c r="F21" s="177"/>
      <c r="G21" s="172" t="s">
        <v>23</v>
      </c>
      <c r="H21" s="173"/>
      <c r="I21" s="173"/>
      <c r="J21" s="177"/>
      <c r="K21" s="172" t="s">
        <v>23</v>
      </c>
      <c r="L21" s="173"/>
      <c r="M21" s="173"/>
      <c r="N21" s="177"/>
      <c r="O21" s="172" t="s">
        <v>23</v>
      </c>
      <c r="P21" s="173"/>
      <c r="Q21" s="173"/>
      <c r="R21" s="177"/>
      <c r="S21" s="172" t="s">
        <v>23</v>
      </c>
      <c r="T21" s="173"/>
      <c r="U21" s="177"/>
    </row>
    <row r="22" spans="2:21" ht="19.5" thickBot="1">
      <c r="C22" s="178" t="s">
        <v>24</v>
      </c>
      <c r="D22" s="179"/>
      <c r="E22" s="131">
        <v>0</v>
      </c>
      <c r="F22" s="105">
        <f>E22*F13</f>
        <v>0</v>
      </c>
      <c r="G22" s="178" t="s">
        <v>24</v>
      </c>
      <c r="H22" s="179"/>
      <c r="I22" s="131">
        <v>0</v>
      </c>
      <c r="J22" s="105">
        <f>I22*J13</f>
        <v>0</v>
      </c>
      <c r="K22" s="178" t="s">
        <v>24</v>
      </c>
      <c r="L22" s="179"/>
      <c r="M22" s="131">
        <v>0</v>
      </c>
      <c r="N22" s="105">
        <f>M22*N13</f>
        <v>0</v>
      </c>
      <c r="O22" s="178" t="s">
        <v>24</v>
      </c>
      <c r="P22" s="179"/>
      <c r="Q22" s="131">
        <v>0</v>
      </c>
      <c r="R22" s="105">
        <f>Q22*R13</f>
        <v>0</v>
      </c>
      <c r="S22" s="178" t="s">
        <v>24</v>
      </c>
      <c r="T22" s="179"/>
      <c r="U22" s="107">
        <f t="shared" ref="U22:U24" si="5">F22+J22+N22+R22</f>
        <v>0</v>
      </c>
    </row>
    <row r="23" spans="2:21">
      <c r="B23" s="8" t="s">
        <v>52</v>
      </c>
      <c r="C23" s="170" t="s">
        <v>25</v>
      </c>
      <c r="D23" s="171"/>
      <c r="E23" s="133">
        <v>4.9000000000000002E-2</v>
      </c>
      <c r="F23" s="98">
        <f>E23*F13</f>
        <v>26.311863896416746</v>
      </c>
      <c r="G23" s="170" t="s">
        <v>25</v>
      </c>
      <c r="H23" s="171"/>
      <c r="I23" s="133">
        <v>4.9000000000000002E-2</v>
      </c>
      <c r="J23" s="98">
        <f>I23*J13</f>
        <v>28.085330000000006</v>
      </c>
      <c r="K23" s="170" t="s">
        <v>25</v>
      </c>
      <c r="L23" s="171"/>
      <c r="M23" s="133">
        <v>4.9000000000000002E-2</v>
      </c>
      <c r="N23" s="98">
        <f>M23*N13</f>
        <v>26.497730000000001</v>
      </c>
      <c r="O23" s="170" t="s">
        <v>25</v>
      </c>
      <c r="P23" s="171"/>
      <c r="Q23" s="133">
        <v>4.9000000000000002E-2</v>
      </c>
      <c r="R23" s="98">
        <f>Q23*R13</f>
        <v>26.333089999999999</v>
      </c>
      <c r="S23" s="170" t="s">
        <v>25</v>
      </c>
      <c r="T23" s="171"/>
      <c r="U23" s="107">
        <f t="shared" si="5"/>
        <v>107.22801389641675</v>
      </c>
    </row>
    <row r="24" spans="2:21" ht="19.5" thickBot="1">
      <c r="B24" s="76">
        <f>ROUND(O7-O6,0)</f>
        <v>95</v>
      </c>
      <c r="C24" s="175" t="s">
        <v>26</v>
      </c>
      <c r="D24" s="176"/>
      <c r="E24" s="136">
        <v>6.0999999999999999E-2</v>
      </c>
      <c r="F24" s="106">
        <f>E24*F13</f>
        <v>32.755585666967782</v>
      </c>
      <c r="G24" s="175" t="s">
        <v>26</v>
      </c>
      <c r="H24" s="176"/>
      <c r="I24" s="136">
        <v>6.0999999999999999E-2</v>
      </c>
      <c r="J24" s="106">
        <f>I24*J13</f>
        <v>34.963370000000005</v>
      </c>
      <c r="K24" s="175" t="s">
        <v>26</v>
      </c>
      <c r="L24" s="176"/>
      <c r="M24" s="136">
        <v>6.0999999999999999E-2</v>
      </c>
      <c r="N24" s="106">
        <f>M24*N13</f>
        <v>32.986969999999999</v>
      </c>
      <c r="O24" s="175" t="s">
        <v>26</v>
      </c>
      <c r="P24" s="176"/>
      <c r="Q24" s="136">
        <v>6.0999999999999999E-2</v>
      </c>
      <c r="R24" s="106">
        <f>Q24*R13</f>
        <v>32.78201</v>
      </c>
      <c r="S24" s="175" t="s">
        <v>26</v>
      </c>
      <c r="T24" s="176"/>
      <c r="U24" s="107">
        <f t="shared" si="5"/>
        <v>133.48793566696779</v>
      </c>
    </row>
    <row r="25" spans="2:21" ht="19.5" thickBot="1">
      <c r="B25" s="14" t="str">
        <f>IF(O8&gt;=0," for meget "," for lidt ")</f>
        <v xml:space="preserve"> for meget </v>
      </c>
      <c r="C25" s="172" t="s">
        <v>27</v>
      </c>
      <c r="D25" s="173"/>
      <c r="E25" s="173"/>
      <c r="F25" s="177"/>
      <c r="G25" s="172" t="s">
        <v>27</v>
      </c>
      <c r="H25" s="173"/>
      <c r="I25" s="173"/>
      <c r="J25" s="177"/>
      <c r="K25" s="172" t="s">
        <v>27</v>
      </c>
      <c r="L25" s="173"/>
      <c r="M25" s="173"/>
      <c r="N25" s="177"/>
      <c r="O25" s="172" t="s">
        <v>27</v>
      </c>
      <c r="P25" s="173"/>
      <c r="Q25" s="173"/>
      <c r="R25" s="177"/>
      <c r="S25" s="172" t="s">
        <v>27</v>
      </c>
      <c r="T25" s="173"/>
      <c r="U25" s="177"/>
    </row>
    <row r="26" spans="2:21" ht="19.5" thickBot="1">
      <c r="C26" s="178" t="s">
        <v>28</v>
      </c>
      <c r="D26" s="179"/>
      <c r="E26" s="131">
        <v>1.0999999999999999E-2</v>
      </c>
      <c r="F26" s="105">
        <f>E26*F13</f>
        <v>5.9067449563384526</v>
      </c>
      <c r="G26" s="178" t="s">
        <v>28</v>
      </c>
      <c r="H26" s="179"/>
      <c r="I26" s="131">
        <v>0</v>
      </c>
      <c r="J26" s="105">
        <f>I26*J13</f>
        <v>0</v>
      </c>
      <c r="K26" s="178" t="s">
        <v>28</v>
      </c>
      <c r="L26" s="179"/>
      <c r="M26" s="131">
        <v>0</v>
      </c>
      <c r="N26" s="105">
        <f>M26*N13</f>
        <v>0</v>
      </c>
      <c r="O26" s="178" t="s">
        <v>28</v>
      </c>
      <c r="P26" s="179"/>
      <c r="Q26" s="131">
        <v>0</v>
      </c>
      <c r="R26" s="105">
        <f>Q26*R13</f>
        <v>0</v>
      </c>
      <c r="S26" s="178" t="s">
        <v>28</v>
      </c>
      <c r="T26" s="179"/>
      <c r="U26" s="107">
        <f t="shared" ref="U26:U28" si="6">F26+J26+N26+R26</f>
        <v>5.9067449563384526</v>
      </c>
    </row>
    <row r="27" spans="2:21">
      <c r="B27" s="8">
        <f>+B3</f>
        <v>2021</v>
      </c>
      <c r="C27" s="170" t="s">
        <v>29</v>
      </c>
      <c r="D27" s="171"/>
      <c r="E27" s="133">
        <v>0.9</v>
      </c>
      <c r="F27" s="98">
        <f>E27*F13</f>
        <v>483.27913279132798</v>
      </c>
      <c r="G27" s="170" t="s">
        <v>29</v>
      </c>
      <c r="H27" s="171"/>
      <c r="I27" s="133">
        <v>0.9</v>
      </c>
      <c r="J27" s="98">
        <f>I27*J13</f>
        <v>515.85300000000007</v>
      </c>
      <c r="K27" s="170" t="s">
        <v>29</v>
      </c>
      <c r="L27" s="171"/>
      <c r="M27" s="133">
        <v>0.9</v>
      </c>
      <c r="N27" s="98">
        <f>M27*N13</f>
        <v>486.69299999999998</v>
      </c>
      <c r="O27" s="170" t="s">
        <v>29</v>
      </c>
      <c r="P27" s="171"/>
      <c r="Q27" s="133">
        <v>0.9</v>
      </c>
      <c r="R27" s="98">
        <f>Q27*R13</f>
        <v>483.66899999999998</v>
      </c>
      <c r="S27" s="170" t="s">
        <v>29</v>
      </c>
      <c r="T27" s="171"/>
      <c r="U27" s="107">
        <f t="shared" si="6"/>
        <v>1969.494132791328</v>
      </c>
    </row>
    <row r="28" spans="2:21" ht="19.5" thickBot="1">
      <c r="B28" s="76">
        <f>ROUND(U7-U6,0)</f>
        <v>-696</v>
      </c>
      <c r="C28" s="175" t="s">
        <v>40</v>
      </c>
      <c r="D28" s="176"/>
      <c r="E28" s="50">
        <f>+F14+F16+F17+F18+F19+F20+F22+F23+F24+F26+F27</f>
        <v>871.39933453778997</v>
      </c>
      <c r="F28" s="47">
        <f>E28*25%</f>
        <v>217.84983363444749</v>
      </c>
      <c r="G28" s="175" t="s">
        <v>40</v>
      </c>
      <c r="H28" s="176"/>
      <c r="I28" s="50">
        <f>+J14+J16+J17+J18+J19+J20+J22+J23+J24+J26+J27</f>
        <v>945.67868400000009</v>
      </c>
      <c r="J28" s="47">
        <f>I28*25%</f>
        <v>236.41967100000002</v>
      </c>
      <c r="K28" s="175" t="s">
        <v>40</v>
      </c>
      <c r="L28" s="176"/>
      <c r="M28" s="50">
        <f>+N14+N16+N17+N18+N19+N20+N22+N23+N24+N26+N27</f>
        <v>962.55783400000007</v>
      </c>
      <c r="N28" s="47">
        <f>M28*25%</f>
        <v>240.63945850000002</v>
      </c>
      <c r="O28" s="175" t="s">
        <v>40</v>
      </c>
      <c r="P28" s="176"/>
      <c r="Q28" s="50">
        <f>+R14+R16+R17+R18+R19+R20+R22+R23+R24+R26+R27</f>
        <v>1117.0069149999999</v>
      </c>
      <c r="R28" s="47">
        <f>Q28*25%</f>
        <v>279.25172874999998</v>
      </c>
      <c r="S28" s="175" t="s">
        <v>30</v>
      </c>
      <c r="T28" s="176"/>
      <c r="U28" s="45">
        <f t="shared" si="6"/>
        <v>974.16069188444749</v>
      </c>
    </row>
    <row r="29" spans="2:21" ht="19.5" thickBot="1">
      <c r="B29" s="14" t="str">
        <f>IF(S8&gt;=0," for meget "," for lidt ")</f>
        <v xml:space="preserve"> for lidt </v>
      </c>
      <c r="C29" s="172" t="str">
        <f>CONCATENATE("I alt ",Manual!$G$4)</f>
        <v>I alt Norlys Energi A/S</v>
      </c>
      <c r="D29" s="173"/>
      <c r="E29" s="174"/>
      <c r="F29" s="65">
        <f>F14+F16+F17+F18+F19+F20+F22+F23+F24+F26+F27+F28</f>
        <v>1089.2491681722374</v>
      </c>
      <c r="G29" s="172" t="str">
        <f>CONCATENATE("I alt ",Manual!$G$4)</f>
        <v>I alt Norlys Energi A/S</v>
      </c>
      <c r="H29" s="173"/>
      <c r="I29" s="174"/>
      <c r="J29" s="65">
        <f>J14+J16+J17+J18+J19+J20+J22+J23+J24+J26+J27+J28</f>
        <v>1182.0983550000001</v>
      </c>
      <c r="K29" s="172" t="str">
        <f>CONCATENATE("I alt ",Manual!$G$4)</f>
        <v>I alt Norlys Energi A/S</v>
      </c>
      <c r="L29" s="173"/>
      <c r="M29" s="174"/>
      <c r="N29" s="65">
        <f>N14+N16+N17+N18+N19+N20+N22+N23+N24+N26+N27+N28</f>
        <v>1203.1972925</v>
      </c>
      <c r="O29" s="172" t="str">
        <f>CONCATENATE("I alt ",Manual!$G$4)</f>
        <v>I alt Norlys Energi A/S</v>
      </c>
      <c r="P29" s="173"/>
      <c r="Q29" s="174"/>
      <c r="R29" s="65">
        <f>R14+R16+R17+R18+R19+R20+R22+R23+R24+R26+R27+R28</f>
        <v>1396.2586437499999</v>
      </c>
      <c r="S29" s="172" t="str">
        <f>CONCATENATE("I alt ",Manual!$G$4)</f>
        <v>I alt Norlys Energi A/S</v>
      </c>
      <c r="T29" s="174"/>
      <c r="U29" s="65">
        <f>U14+U16+U17+U18+U19+U20+U22+U23+U24+U26+U27+U28</f>
        <v>4870.8034594222372</v>
      </c>
    </row>
    <row r="30" spans="2:21" ht="21.75" thickBot="1">
      <c r="C30" s="165" t="str">
        <f>CONCATENATE("GENNEMSNIT PRISER PER kWh I ",B3," ER INCL. ALLE AFGIFTER MED MOMS")</f>
        <v>GENNEMSNIT PRISER PER kWh I 2021 ER INCL. ALLE AFGIFTER MED MOMS</v>
      </c>
      <c r="D30" s="164"/>
      <c r="E30" s="164"/>
      <c r="F30" s="164"/>
      <c r="G30" s="164"/>
      <c r="H30" s="164"/>
      <c r="I30" s="164"/>
      <c r="J30" s="164"/>
      <c r="K30" s="164"/>
      <c r="L30" s="164"/>
      <c r="M30" s="164"/>
      <c r="N30" s="164"/>
      <c r="O30" s="164"/>
      <c r="P30" s="164"/>
      <c r="Q30" s="164"/>
      <c r="R30" s="164"/>
      <c r="S30" s="164"/>
      <c r="T30" s="164"/>
      <c r="U30" s="166"/>
    </row>
    <row r="31" spans="2:21" ht="19.5" thickBot="1">
      <c r="C31" s="172" t="str">
        <f>CONCATENATE("Gennemsnit per kWh 1. kvartal ",$B$3)</f>
        <v>Gennemsnit per kWh 1. kvartal 2021</v>
      </c>
      <c r="D31" s="173"/>
      <c r="E31" s="173"/>
      <c r="F31" s="51">
        <f>F29/F13</f>
        <v>2.0284845441036281</v>
      </c>
      <c r="G31" s="172" t="str">
        <f>CONCATENATE("Gennemsnit per kWh 2. kvartal ",$B$3)</f>
        <v>Gennemsnit per kWh 2. kvartal 2021</v>
      </c>
      <c r="H31" s="173"/>
      <c r="I31" s="173"/>
      <c r="J31" s="51">
        <f>J29/G6</f>
        <v>2.062386996877017</v>
      </c>
      <c r="K31" s="172" t="str">
        <f>CONCATENATE("Gennemsnit per kWh 3. kvartal ",$B$3)</f>
        <v>Gennemsnit per kWh 3. kvartal 2021</v>
      </c>
      <c r="L31" s="173"/>
      <c r="M31" s="173"/>
      <c r="N31" s="51">
        <f>N29/K6</f>
        <v>2.2249704911515065</v>
      </c>
      <c r="O31" s="172" t="str">
        <f>CONCATENATE("Gennemsnit per kWh 4. kvartal ",$B$3)</f>
        <v>Gennemsnit per kWh 4. kvartal 2021</v>
      </c>
      <c r="P31" s="173"/>
      <c r="Q31" s="173"/>
      <c r="R31" s="15">
        <f>R29/O6</f>
        <v>2.5981255349732977</v>
      </c>
      <c r="S31" s="172" t="str">
        <f>CONCATENATE("EL Gennemsnit/kWh ",$B$3)</f>
        <v>EL Gennemsnit/kWh 2021</v>
      </c>
      <c r="T31" s="173"/>
      <c r="U31" s="64">
        <f>U29/U6</f>
        <v>2.2258117150453467</v>
      </c>
    </row>
    <row r="32" spans="2:21" ht="21.75" thickBot="1">
      <c r="C32" s="164"/>
      <c r="D32" s="164"/>
      <c r="E32" s="164"/>
      <c r="F32" s="164"/>
      <c r="G32" s="164"/>
      <c r="H32" s="164"/>
      <c r="I32" s="164"/>
      <c r="J32" s="164"/>
      <c r="K32" s="164"/>
      <c r="L32" s="164"/>
      <c r="M32" s="164"/>
      <c r="N32" s="164"/>
      <c r="O32" s="164"/>
      <c r="P32" s="164"/>
      <c r="Q32" s="164"/>
      <c r="R32" s="164"/>
      <c r="S32" s="164"/>
      <c r="T32" s="164"/>
      <c r="U32" s="164"/>
    </row>
    <row r="33" spans="2:24" ht="21.75" thickBot="1">
      <c r="C33" s="165" t="str">
        <f>CONCATENATE("BETALINGSSERVICE ",B3," AF EL TIL ",Manual!$G$4," PER KVARTAL")</f>
        <v>BETALINGSSERVICE 2021 AF EL TIL Norlys Energi A/S PER KVARTAL</v>
      </c>
      <c r="D33" s="164"/>
      <c r="E33" s="164"/>
      <c r="F33" s="164"/>
      <c r="G33" s="164"/>
      <c r="H33" s="164"/>
      <c r="I33" s="164"/>
      <c r="J33" s="164"/>
      <c r="K33" s="164"/>
      <c r="L33" s="164"/>
      <c r="M33" s="164"/>
      <c r="N33" s="164"/>
      <c r="O33" s="164"/>
      <c r="P33" s="164"/>
      <c r="Q33" s="164"/>
      <c r="R33" s="164"/>
      <c r="S33" s="164"/>
      <c r="T33" s="164"/>
      <c r="U33" s="166"/>
      <c r="W33" s="117" t="s">
        <v>56</v>
      </c>
      <c r="X33" s="118">
        <f>+T35</f>
        <v>5079.17</v>
      </c>
    </row>
    <row r="34" spans="2:24">
      <c r="C34" s="167" t="str">
        <f>+B11</f>
        <v>1. kvartal</v>
      </c>
      <c r="D34" s="168"/>
      <c r="E34" s="168"/>
      <c r="F34" s="169"/>
      <c r="G34" s="167" t="str">
        <f>+B15</f>
        <v>2. kvartal</v>
      </c>
      <c r="H34" s="168"/>
      <c r="I34" s="168"/>
      <c r="J34" s="169"/>
      <c r="K34" s="167" t="str">
        <f>+B19</f>
        <v>3. kvartal</v>
      </c>
      <c r="L34" s="168"/>
      <c r="M34" s="168"/>
      <c r="N34" s="169"/>
      <c r="O34" s="167" t="str">
        <f>+B23</f>
        <v>4. kvartal</v>
      </c>
      <c r="P34" s="168"/>
      <c r="Q34" s="168"/>
      <c r="R34" s="169"/>
      <c r="S34" s="167">
        <f>+B3</f>
        <v>2021</v>
      </c>
      <c r="T34" s="168"/>
      <c r="U34" s="169"/>
      <c r="W34" s="117" t="str">
        <f>Manual!$G$4</f>
        <v>Norlys Energi A/S</v>
      </c>
      <c r="X34" s="118">
        <f>+T37</f>
        <v>4870.8034594222372</v>
      </c>
    </row>
    <row r="35" spans="2:24" ht="19.5" thickBot="1">
      <c r="B35" s="50"/>
      <c r="C35" s="40"/>
      <c r="D35" s="137">
        <v>299.10000000000002</v>
      </c>
      <c r="E35" s="216"/>
      <c r="F35" s="217"/>
      <c r="G35" s="40"/>
      <c r="H35" s="137">
        <v>1149.6300000000001</v>
      </c>
      <c r="I35" s="216"/>
      <c r="J35" s="217"/>
      <c r="K35" s="40"/>
      <c r="L35" s="137">
        <v>2206.2399999999998</v>
      </c>
      <c r="M35" s="216"/>
      <c r="N35" s="217"/>
      <c r="O35" s="40"/>
      <c r="P35" s="137">
        <v>1424.2</v>
      </c>
      <c r="Q35" s="216"/>
      <c r="R35" s="217"/>
      <c r="S35" s="40"/>
      <c r="T35" s="61">
        <f>SUM(C35:R35)</f>
        <v>5079.17</v>
      </c>
      <c r="U35" s="42"/>
      <c r="W35" s="117" t="str">
        <f>IF(X35&gt;=0," Betalt for meget "," Betalt for lidt ")</f>
        <v xml:space="preserve"> Betalt for meget </v>
      </c>
      <c r="X35" s="119">
        <f>X33-X34</f>
        <v>208.36654057776286</v>
      </c>
    </row>
    <row r="36" spans="2:24" ht="21.75" thickBot="1">
      <c r="C36" s="165" t="str">
        <f>CONCATENATE("FAKTURERET I ",B3," AF ",Manual!$G$4," PER KVARTAL")</f>
        <v>FAKTURERET I 2021 AF Norlys Energi A/S PER KVARTAL</v>
      </c>
      <c r="D36" s="164"/>
      <c r="E36" s="164"/>
      <c r="F36" s="164"/>
      <c r="G36" s="164"/>
      <c r="H36" s="164"/>
      <c r="I36" s="164"/>
      <c r="J36" s="164"/>
      <c r="K36" s="164"/>
      <c r="L36" s="164"/>
      <c r="M36" s="164"/>
      <c r="N36" s="164"/>
      <c r="O36" s="164"/>
      <c r="P36" s="164"/>
      <c r="Q36" s="164"/>
      <c r="R36" s="164"/>
      <c r="S36" s="164"/>
      <c r="T36" s="164"/>
      <c r="U36" s="166"/>
      <c r="W36" s="117" t="s">
        <v>85</v>
      </c>
      <c r="X36" s="138">
        <v>0</v>
      </c>
    </row>
    <row r="37" spans="2:24" ht="19.5" thickBot="1">
      <c r="B37" s="63"/>
      <c r="C37" s="67"/>
      <c r="D37" s="68">
        <f>+F29</f>
        <v>1089.2491681722374</v>
      </c>
      <c r="E37" s="218"/>
      <c r="F37" s="219"/>
      <c r="G37" s="67"/>
      <c r="H37" s="68">
        <f>+J29</f>
        <v>1182.0983550000001</v>
      </c>
      <c r="I37" s="218"/>
      <c r="J37" s="219"/>
      <c r="K37" s="67"/>
      <c r="L37" s="68">
        <f>+N29</f>
        <v>1203.1972925</v>
      </c>
      <c r="M37" s="218"/>
      <c r="N37" s="219"/>
      <c r="O37" s="67"/>
      <c r="P37" s="68">
        <f>+R29</f>
        <v>1396.2586437499999</v>
      </c>
      <c r="Q37" s="218"/>
      <c r="R37" s="219"/>
      <c r="S37" s="67"/>
      <c r="T37" s="68">
        <f>D37+H37+L37+P37</f>
        <v>4870.8034594222372</v>
      </c>
      <c r="U37" s="70"/>
      <c r="W37" s="120" t="s">
        <v>86</v>
      </c>
      <c r="X37" s="121">
        <f>X35+X36</f>
        <v>208.36654057776286</v>
      </c>
    </row>
    <row r="38" spans="2:24">
      <c r="W38" s="117" t="s">
        <v>84</v>
      </c>
      <c r="X38" s="121">
        <f>+X37</f>
        <v>208.36654057776286</v>
      </c>
    </row>
    <row r="39" spans="2:24">
      <c r="C39" s="33"/>
      <c r="D39" s="33"/>
      <c r="F39" s="11"/>
      <c r="R39" s="38"/>
      <c r="S39" s="38"/>
      <c r="T39" s="38"/>
      <c r="U39" s="38"/>
    </row>
    <row r="40" spans="2:24">
      <c r="S40" s="38"/>
      <c r="T40" s="38"/>
    </row>
    <row r="41" spans="2:24">
      <c r="S41" s="38"/>
      <c r="T41" s="38"/>
    </row>
    <row r="42" spans="2:24">
      <c r="S42" s="43"/>
      <c r="T42" s="43"/>
    </row>
    <row r="44" spans="2:24">
      <c r="W44" s="32"/>
    </row>
    <row r="45" spans="2:24">
      <c r="W45" s="32"/>
    </row>
    <row r="46" spans="2:24">
      <c r="W46" s="32"/>
    </row>
    <row r="47" spans="2:24">
      <c r="W47" s="32"/>
    </row>
    <row r="48" spans="2:24">
      <c r="W48" s="32"/>
    </row>
    <row r="49" spans="23:23">
      <c r="W49" s="32"/>
    </row>
    <row r="50" spans="23:23">
      <c r="W50" s="32"/>
    </row>
    <row r="51" spans="23:23">
      <c r="W51" s="32"/>
    </row>
    <row r="52" spans="23:23">
      <c r="W52" s="32"/>
    </row>
    <row r="53" spans="23:23">
      <c r="W53" s="32"/>
    </row>
    <row r="54" spans="23:23">
      <c r="W54" s="32"/>
    </row>
  </sheetData>
  <sheetProtection password="D5AA" sheet="1" objects="1" scenarios="1"/>
  <mergeCells count="154">
    <mergeCell ref="Y11:Z11"/>
    <mergeCell ref="Y12:Z12"/>
    <mergeCell ref="W6:AD6"/>
    <mergeCell ref="B1:U2"/>
    <mergeCell ref="E35:F35"/>
    <mergeCell ref="E37:F37"/>
    <mergeCell ref="I35:J35"/>
    <mergeCell ref="I37:J37"/>
    <mergeCell ref="M35:N35"/>
    <mergeCell ref="M37:N37"/>
    <mergeCell ref="Q35:R35"/>
    <mergeCell ref="Q37:R37"/>
    <mergeCell ref="W9:AD9"/>
    <mergeCell ref="C36:U36"/>
    <mergeCell ref="C30:U30"/>
    <mergeCell ref="G11:J11"/>
    <mergeCell ref="I3:J3"/>
    <mergeCell ref="I5:J5"/>
    <mergeCell ref="I6:J6"/>
    <mergeCell ref="G28:H28"/>
    <mergeCell ref="G29:I29"/>
    <mergeCell ref="G27:H27"/>
    <mergeCell ref="G13:H13"/>
    <mergeCell ref="G24:H24"/>
    <mergeCell ref="G14:H14"/>
    <mergeCell ref="G26:H26"/>
    <mergeCell ref="G12:H12"/>
    <mergeCell ref="G18:H18"/>
    <mergeCell ref="G19:H19"/>
    <mergeCell ref="G20:H20"/>
    <mergeCell ref="G22:H22"/>
    <mergeCell ref="G23:H23"/>
    <mergeCell ref="O22:P22"/>
    <mergeCell ref="K13:L13"/>
    <mergeCell ref="S7:T7"/>
    <mergeCell ref="C17:D17"/>
    <mergeCell ref="C18:D18"/>
    <mergeCell ref="C19:D19"/>
    <mergeCell ref="C20:D20"/>
    <mergeCell ref="S22:T22"/>
    <mergeCell ref="E3:F3"/>
    <mergeCell ref="E5:F5"/>
    <mergeCell ref="S19:T19"/>
    <mergeCell ref="S20:T20"/>
    <mergeCell ref="S21:U21"/>
    <mergeCell ref="S18:T18"/>
    <mergeCell ref="C11:F11"/>
    <mergeCell ref="C12:D12"/>
    <mergeCell ref="C13:D13"/>
    <mergeCell ref="C14:D14"/>
    <mergeCell ref="G17:H17"/>
    <mergeCell ref="I7:J7"/>
    <mergeCell ref="O20:P20"/>
    <mergeCell ref="O21:R21"/>
    <mergeCell ref="S6:T6"/>
    <mergeCell ref="S11:U11"/>
    <mergeCell ref="S12:T12"/>
    <mergeCell ref="S13:T13"/>
    <mergeCell ref="S14:T14"/>
    <mergeCell ref="S15:U15"/>
    <mergeCell ref="G21:J21"/>
    <mergeCell ref="S16:T16"/>
    <mergeCell ref="S17:T17"/>
    <mergeCell ref="T8:U8"/>
    <mergeCell ref="Q3:R3"/>
    <mergeCell ref="Q5:R5"/>
    <mergeCell ref="Q6:R6"/>
    <mergeCell ref="Q7:R7"/>
    <mergeCell ref="Q8:R8"/>
    <mergeCell ref="K11:N11"/>
    <mergeCell ref="O11:R11"/>
    <mergeCell ref="O12:P12"/>
    <mergeCell ref="T9:U9"/>
    <mergeCell ref="O13:P13"/>
    <mergeCell ref="M4:N4"/>
    <mergeCell ref="Q4:R4"/>
    <mergeCell ref="M3:N3"/>
    <mergeCell ref="M5:N5"/>
    <mergeCell ref="M6:N6"/>
    <mergeCell ref="M7:N7"/>
    <mergeCell ref="M8:N8"/>
    <mergeCell ref="K12:L12"/>
    <mergeCell ref="P9:R9"/>
    <mergeCell ref="C25:F25"/>
    <mergeCell ref="C26:D26"/>
    <mergeCell ref="C15:F15"/>
    <mergeCell ref="C16:D16"/>
    <mergeCell ref="K29:M29"/>
    <mergeCell ref="K20:L20"/>
    <mergeCell ref="K21:N21"/>
    <mergeCell ref="K22:L22"/>
    <mergeCell ref="K23:L23"/>
    <mergeCell ref="K24:L24"/>
    <mergeCell ref="G25:J25"/>
    <mergeCell ref="G16:H16"/>
    <mergeCell ref="C21:F21"/>
    <mergeCell ref="C22:D22"/>
    <mergeCell ref="K26:L26"/>
    <mergeCell ref="K27:L27"/>
    <mergeCell ref="K28:L28"/>
    <mergeCell ref="K25:N25"/>
    <mergeCell ref="K15:N15"/>
    <mergeCell ref="K16:L16"/>
    <mergeCell ref="K17:L17"/>
    <mergeCell ref="K18:L18"/>
    <mergeCell ref="G15:J15"/>
    <mergeCell ref="S29:T29"/>
    <mergeCell ref="O28:P28"/>
    <mergeCell ref="C27:D27"/>
    <mergeCell ref="C28:D28"/>
    <mergeCell ref="C29:E29"/>
    <mergeCell ref="C23:D23"/>
    <mergeCell ref="C24:D24"/>
    <mergeCell ref="E4:F4"/>
    <mergeCell ref="I4:J4"/>
    <mergeCell ref="O17:P17"/>
    <mergeCell ref="O18:P18"/>
    <mergeCell ref="O19:P19"/>
    <mergeCell ref="O14:P14"/>
    <mergeCell ref="O15:R15"/>
    <mergeCell ref="O16:P16"/>
    <mergeCell ref="K14:L14"/>
    <mergeCell ref="I8:J8"/>
    <mergeCell ref="E6:F6"/>
    <mergeCell ref="E7:F7"/>
    <mergeCell ref="K19:L19"/>
    <mergeCell ref="E8:F8"/>
    <mergeCell ref="D9:F9"/>
    <mergeCell ref="H9:J9"/>
    <mergeCell ref="L9:N9"/>
    <mergeCell ref="C32:U32"/>
    <mergeCell ref="C33:U33"/>
    <mergeCell ref="C34:F34"/>
    <mergeCell ref="G34:J34"/>
    <mergeCell ref="K34:N34"/>
    <mergeCell ref="O34:R34"/>
    <mergeCell ref="S34:U34"/>
    <mergeCell ref="S23:T23"/>
    <mergeCell ref="O29:Q29"/>
    <mergeCell ref="O23:P23"/>
    <mergeCell ref="O24:P24"/>
    <mergeCell ref="O25:R25"/>
    <mergeCell ref="O26:P26"/>
    <mergeCell ref="O27:P27"/>
    <mergeCell ref="C31:E31"/>
    <mergeCell ref="G31:I31"/>
    <mergeCell ref="K31:M31"/>
    <mergeCell ref="O31:Q31"/>
    <mergeCell ref="S31:T31"/>
    <mergeCell ref="S24:T24"/>
    <mergeCell ref="S25:U25"/>
    <mergeCell ref="S26:T26"/>
    <mergeCell ref="S27:T27"/>
    <mergeCell ref="S28:T28"/>
  </mergeCells>
  <printOptions horizontalCentered="1" verticalCentered="1"/>
  <pageMargins left="0.51181102362204722" right="0" top="0" bottom="0" header="0" footer="0.31496062992125984"/>
  <pageSetup paperSize="9" scale="41" orientation="landscape" r:id="rId1"/>
  <headerFooter>
    <oddFooter>Side &amp;P&amp;RNorlys EL Forbrug.xlsx</oddFooter>
  </headerFooter>
  <ignoredErrors>
    <ignoredError sqref="E18 I18 M18 Q18" unlockedFormula="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B1:AD64"/>
  <sheetViews>
    <sheetView zoomScale="80" zoomScaleNormal="80" workbookViewId="0"/>
  </sheetViews>
  <sheetFormatPr defaultRowHeight="18.75"/>
  <cols>
    <col min="1" max="1" width="2.7109375" style="1" customWidth="1"/>
    <col min="2" max="2" width="23.140625" style="1" customWidth="1"/>
    <col min="3" max="4" width="15.7109375" style="1" customWidth="1"/>
    <col min="5" max="5" width="17" style="1" customWidth="1"/>
    <col min="6" max="6" width="16.28515625" style="1" customWidth="1"/>
    <col min="7" max="8" width="15.7109375" style="1" customWidth="1"/>
    <col min="9" max="9" width="17.140625" style="1" customWidth="1"/>
    <col min="10" max="10" width="16.28515625" style="1" customWidth="1"/>
    <col min="11" max="12" width="15.7109375" style="1" customWidth="1"/>
    <col min="13" max="13" width="17.140625" style="1" customWidth="1"/>
    <col min="14" max="14" width="16.28515625" style="1" customWidth="1"/>
    <col min="15" max="16" width="15.7109375" style="1" customWidth="1"/>
    <col min="17" max="17" width="17.140625" style="1" customWidth="1"/>
    <col min="18" max="18" width="16.28515625" style="1" customWidth="1"/>
    <col min="19" max="20" width="14.7109375" style="1" customWidth="1"/>
    <col min="21" max="21" width="17.7109375" style="1" bestFit="1" customWidth="1"/>
    <col min="22" max="22" width="3.7109375" style="1" customWidth="1"/>
    <col min="23" max="23" width="50.85546875" style="1" customWidth="1"/>
    <col min="24" max="24" width="15" style="1" bestFit="1" customWidth="1"/>
    <col min="25" max="26" width="15.7109375" style="1" customWidth="1"/>
    <col min="27" max="27" width="9.85546875" style="1" bestFit="1" customWidth="1"/>
    <col min="28" max="29" width="15.7109375" style="1" customWidth="1"/>
    <col min="30" max="30" width="24.7109375" style="1" bestFit="1" customWidth="1"/>
    <col min="31" max="16384" width="9.140625" style="1"/>
  </cols>
  <sheetData>
    <row r="1" spans="2:30" ht="18.75" customHeight="1">
      <c r="B1" s="210" t="str">
        <f>CONCATENATE("EL forbrug i ",Manual!G2," fra den ",W2,X2)</f>
        <v>EL forbrug i Storegade 6, 2. sal, th. fra den 1. januar til den 31. december 2022</v>
      </c>
      <c r="C1" s="211"/>
      <c r="D1" s="211"/>
      <c r="E1" s="211"/>
      <c r="F1" s="211"/>
      <c r="G1" s="211"/>
      <c r="H1" s="211"/>
      <c r="I1" s="211"/>
      <c r="J1" s="211"/>
      <c r="K1" s="211"/>
      <c r="L1" s="211"/>
      <c r="M1" s="211"/>
      <c r="N1" s="211"/>
      <c r="O1" s="211"/>
      <c r="P1" s="211"/>
      <c r="Q1" s="211"/>
      <c r="R1" s="211"/>
      <c r="S1" s="211"/>
      <c r="T1" s="211"/>
      <c r="U1" s="212"/>
    </row>
    <row r="2" spans="2:30" ht="27" customHeight="1" thickBot="1">
      <c r="B2" s="213"/>
      <c r="C2" s="214"/>
      <c r="D2" s="214"/>
      <c r="E2" s="214"/>
      <c r="F2" s="214"/>
      <c r="G2" s="214"/>
      <c r="H2" s="214"/>
      <c r="I2" s="214"/>
      <c r="J2" s="214"/>
      <c r="K2" s="214"/>
      <c r="L2" s="214"/>
      <c r="M2" s="214"/>
      <c r="N2" s="214"/>
      <c r="O2" s="214"/>
      <c r="P2" s="214"/>
      <c r="Q2" s="214"/>
      <c r="R2" s="214"/>
      <c r="S2" s="214"/>
      <c r="T2" s="214"/>
      <c r="U2" s="215"/>
      <c r="W2" s="90" t="s">
        <v>68</v>
      </c>
      <c r="X2" s="34">
        <f>+B3</f>
        <v>2022</v>
      </c>
    </row>
    <row r="3" spans="2:30">
      <c r="B3" s="142">
        <f>'2021'!$B$3+1</f>
        <v>2022</v>
      </c>
      <c r="C3" s="3" t="s">
        <v>0</v>
      </c>
      <c r="D3" s="24" t="s">
        <v>1</v>
      </c>
      <c r="E3" s="168" t="s">
        <v>2</v>
      </c>
      <c r="F3" s="169"/>
      <c r="G3" s="5" t="s">
        <v>3</v>
      </c>
      <c r="H3" s="18" t="s">
        <v>4</v>
      </c>
      <c r="I3" s="168" t="s">
        <v>5</v>
      </c>
      <c r="J3" s="169"/>
      <c r="K3" s="3" t="s">
        <v>6</v>
      </c>
      <c r="L3" s="24" t="s">
        <v>7</v>
      </c>
      <c r="M3" s="223" t="s">
        <v>8</v>
      </c>
      <c r="N3" s="224"/>
      <c r="O3" s="5" t="s">
        <v>9</v>
      </c>
      <c r="P3" s="18" t="s">
        <v>10</v>
      </c>
      <c r="Q3" s="223" t="s">
        <v>11</v>
      </c>
      <c r="R3" s="225"/>
      <c r="S3" s="3" t="s">
        <v>12</v>
      </c>
      <c r="T3" s="24" t="s">
        <v>13</v>
      </c>
      <c r="U3" s="25" t="s">
        <v>55</v>
      </c>
    </row>
    <row r="4" spans="2:30">
      <c r="B4" s="53" t="s">
        <v>63</v>
      </c>
      <c r="C4" s="55">
        <f>C5*$F$31</f>
        <v>642.97340141620816</v>
      </c>
      <c r="D4" s="56">
        <f t="shared" ref="D4:E4" si="0">D5*$F$31</f>
        <v>529.55695528207627</v>
      </c>
      <c r="E4" s="180">
        <f t="shared" si="0"/>
        <v>587.52610830171545</v>
      </c>
      <c r="F4" s="181"/>
      <c r="G4" s="58">
        <f>G5*$J$31</f>
        <v>636.65498358591447</v>
      </c>
      <c r="H4" s="58">
        <f t="shared" ref="H4:I4" si="1">H5*$J$31</f>
        <v>706.80863657655277</v>
      </c>
      <c r="I4" s="182">
        <f t="shared" si="1"/>
        <v>707.77069983753245</v>
      </c>
      <c r="J4" s="181"/>
      <c r="K4" s="57">
        <f>K5*$N$31</f>
        <v>674.9889915392414</v>
      </c>
      <c r="L4" s="58">
        <f t="shared" ref="L4:M4" si="2">L5*$N$31</f>
        <v>596.03831771724799</v>
      </c>
      <c r="M4" s="182">
        <f t="shared" si="2"/>
        <v>573.14972824351037</v>
      </c>
      <c r="N4" s="181"/>
      <c r="O4" s="59">
        <f>O5*$R$31</f>
        <v>780.72950664136636</v>
      </c>
      <c r="P4" s="56">
        <f t="shared" ref="P4:Q4" si="3">P5*$R$31</f>
        <v>1301.2158444022771</v>
      </c>
      <c r="Q4" s="180">
        <f t="shared" si="3"/>
        <v>1346.7583989563568</v>
      </c>
      <c r="R4" s="180"/>
      <c r="S4" s="62">
        <f>S5*$U$31</f>
        <v>524.95248833412779</v>
      </c>
      <c r="T4" s="56">
        <f t="shared" ref="T4:U4" si="4">T5*$U$31</f>
        <v>905.54304237637052</v>
      </c>
      <c r="U4" s="39">
        <f t="shared" si="4"/>
        <v>715.24776535524916</v>
      </c>
    </row>
    <row r="5" spans="2:30" s="4" customFormat="1" ht="19.5" thickBot="1">
      <c r="B5" s="54" t="s">
        <v>14</v>
      </c>
      <c r="C5" s="125">
        <v>191.22</v>
      </c>
      <c r="D5" s="143">
        <v>157.49</v>
      </c>
      <c r="E5" s="192">
        <v>174.73</v>
      </c>
      <c r="F5" s="197"/>
      <c r="G5" s="128">
        <v>165.44</v>
      </c>
      <c r="H5" s="127">
        <v>183.67</v>
      </c>
      <c r="I5" s="202">
        <v>183.92</v>
      </c>
      <c r="J5" s="203"/>
      <c r="K5" s="125">
        <v>180.48</v>
      </c>
      <c r="L5" s="143">
        <v>159.37</v>
      </c>
      <c r="M5" s="192">
        <v>153.25</v>
      </c>
      <c r="N5" s="197"/>
      <c r="O5" s="128">
        <v>120</v>
      </c>
      <c r="P5" s="144">
        <v>200</v>
      </c>
      <c r="Q5" s="226">
        <v>207</v>
      </c>
      <c r="R5" s="227"/>
      <c r="S5" s="30">
        <f>MIN(C5:Q5)</f>
        <v>120</v>
      </c>
      <c r="T5" s="31">
        <f>MAX(C5:Q5)</f>
        <v>207</v>
      </c>
      <c r="U5" s="12">
        <f>AVERAGE(S5:T5)</f>
        <v>163.5</v>
      </c>
    </row>
    <row r="6" spans="2:30">
      <c r="B6" s="35" t="s">
        <v>61</v>
      </c>
      <c r="C6" s="95">
        <f>C5+D5+E5</f>
        <v>523.44000000000005</v>
      </c>
      <c r="D6" s="28" t="s">
        <v>21</v>
      </c>
      <c r="E6" s="185" t="s">
        <v>42</v>
      </c>
      <c r="F6" s="186"/>
      <c r="G6" s="21">
        <f>G5+H5+I5</f>
        <v>533.03</v>
      </c>
      <c r="H6" s="19" t="s">
        <v>21</v>
      </c>
      <c r="I6" s="195" t="s">
        <v>42</v>
      </c>
      <c r="J6" s="198"/>
      <c r="K6" s="22">
        <f>K5+L5+M5</f>
        <v>493.1</v>
      </c>
      <c r="L6" s="28" t="s">
        <v>21</v>
      </c>
      <c r="M6" s="194" t="s">
        <v>42</v>
      </c>
      <c r="N6" s="198"/>
      <c r="O6" s="21">
        <f>O5+P5+Q5</f>
        <v>527</v>
      </c>
      <c r="P6" s="19" t="s">
        <v>21</v>
      </c>
      <c r="Q6" s="194" t="s">
        <v>42</v>
      </c>
      <c r="R6" s="194"/>
      <c r="S6" s="204" t="s">
        <v>42</v>
      </c>
      <c r="T6" s="205"/>
      <c r="U6" s="29">
        <f>C6+G6+K6+O6</f>
        <v>2076.5700000000002</v>
      </c>
      <c r="W6" s="209" t="s">
        <v>73</v>
      </c>
      <c r="X6" s="209"/>
      <c r="Y6" s="209"/>
      <c r="Z6" s="209"/>
      <c r="AA6" s="209"/>
      <c r="AB6" s="209"/>
      <c r="AC6" s="209"/>
      <c r="AD6" s="209"/>
    </row>
    <row r="7" spans="2:30">
      <c r="B7" s="35" t="s">
        <v>59</v>
      </c>
      <c r="C7" s="129">
        <v>561</v>
      </c>
      <c r="D7" s="28" t="s">
        <v>21</v>
      </c>
      <c r="E7" s="185" t="s">
        <v>41</v>
      </c>
      <c r="F7" s="186"/>
      <c r="G7" s="145">
        <v>567</v>
      </c>
      <c r="H7" s="19" t="s">
        <v>21</v>
      </c>
      <c r="I7" s="185" t="s">
        <v>41</v>
      </c>
      <c r="J7" s="186"/>
      <c r="K7" s="129">
        <v>574</v>
      </c>
      <c r="L7" s="28" t="s">
        <v>21</v>
      </c>
      <c r="M7" s="185" t="s">
        <v>41</v>
      </c>
      <c r="N7" s="186"/>
      <c r="O7" s="130">
        <v>527</v>
      </c>
      <c r="P7" s="19" t="s">
        <v>21</v>
      </c>
      <c r="Q7" s="185" t="s">
        <v>41</v>
      </c>
      <c r="R7" s="195"/>
      <c r="S7" s="199" t="s">
        <v>41</v>
      </c>
      <c r="T7" s="185"/>
      <c r="U7" s="27">
        <f>C7+G7+K7+O7</f>
        <v>2229</v>
      </c>
      <c r="W7" s="2" t="s">
        <v>89</v>
      </c>
    </row>
    <row r="8" spans="2:30" ht="19.5" thickBot="1">
      <c r="B8" s="35" t="s">
        <v>57</v>
      </c>
      <c r="C8" s="102">
        <f>+ROUND(B12,0)</f>
        <v>38</v>
      </c>
      <c r="D8" s="26" t="s">
        <v>48</v>
      </c>
      <c r="E8" s="221" t="str">
        <f>CONCATENATE(C8,D8,B13,"a'conto")</f>
        <v>38 kWh for meget a'conto</v>
      </c>
      <c r="F8" s="222"/>
      <c r="G8" s="103">
        <f>+ROUND(B16,0)</f>
        <v>34</v>
      </c>
      <c r="H8" s="16" t="s">
        <v>48</v>
      </c>
      <c r="I8" s="221" t="str">
        <f>CONCATENATE(G8,H8,B17,"a'conto")</f>
        <v>34 kWh for meget a'conto</v>
      </c>
      <c r="J8" s="222"/>
      <c r="K8" s="102">
        <f>+ROUND(B20,0)</f>
        <v>81</v>
      </c>
      <c r="L8" s="26" t="s">
        <v>48</v>
      </c>
      <c r="M8" s="221" t="str">
        <f>CONCATENATE(K8,L8,B21,"a'conto")</f>
        <v>81 kWh for meget a'conto</v>
      </c>
      <c r="N8" s="222"/>
      <c r="O8" s="104">
        <f>+ROUND(B24,0)</f>
        <v>0</v>
      </c>
      <c r="P8" s="16" t="s">
        <v>48</v>
      </c>
      <c r="Q8" s="221" t="str">
        <f>CONCATENATE(O8,P8,B25,"a'conto")</f>
        <v>0 kWh for meget a'conto</v>
      </c>
      <c r="R8" s="187"/>
      <c r="S8" s="102">
        <f>+ROUND(B28,0)</f>
        <v>152</v>
      </c>
      <c r="T8" s="221" t="str">
        <f>CONCATENATE(S8,P8,B29,"a'conto")</f>
        <v>152 kWh for meget a'conto</v>
      </c>
      <c r="U8" s="222"/>
      <c r="W8" s="71" t="s">
        <v>43</v>
      </c>
      <c r="X8" s="140">
        <v>1600</v>
      </c>
      <c r="Y8" s="4" t="s">
        <v>44</v>
      </c>
      <c r="Z8" s="4" t="s">
        <v>45</v>
      </c>
      <c r="AA8" s="141">
        <v>2.4</v>
      </c>
      <c r="AB8" s="4" t="s">
        <v>46</v>
      </c>
      <c r="AC8" s="110">
        <f>X8*AA8</f>
        <v>3840</v>
      </c>
      <c r="AD8" s="71" t="s">
        <v>47</v>
      </c>
    </row>
    <row r="9" spans="2:30" ht="19.5" thickBot="1">
      <c r="B9" s="36" t="s">
        <v>60</v>
      </c>
      <c r="C9" s="37">
        <f>C8*F31</f>
        <v>127.77423519410056</v>
      </c>
      <c r="D9" s="187" t="str">
        <f>IF(C8&gt;=0," Betalt for meget, sænk skønnet forbrug "," Betalt for lidt, hæv skønnet forbrug ")</f>
        <v xml:space="preserve"> Betalt for meget, sænk skønnet forbrug </v>
      </c>
      <c r="E9" s="188"/>
      <c r="F9" s="189"/>
      <c r="G9" s="37">
        <f>G8*J31</f>
        <v>130.84060349323676</v>
      </c>
      <c r="H9" s="187" t="str">
        <f>IF(G8&gt;=0," Betalt for meget, sænk skønnet forbrug "," Betalt for lidt, hæv skønnet forbrug ")</f>
        <v xml:space="preserve"> Betalt for meget, sænk skønnet forbrug </v>
      </c>
      <c r="I9" s="188"/>
      <c r="J9" s="189"/>
      <c r="K9" s="37">
        <f>K8*N31</f>
        <v>302.93721362299732</v>
      </c>
      <c r="L9" s="187" t="str">
        <f>IF(K8&gt;=0," Betalt for meget, sænk skønnet forbrug "," Betalt for lidt, hæv skønnet forbrug ")</f>
        <v xml:space="preserve"> Betalt for meget, sænk skønnet forbrug </v>
      </c>
      <c r="M9" s="188"/>
      <c r="N9" s="189"/>
      <c r="O9" s="37">
        <f>O8*R31</f>
        <v>0</v>
      </c>
      <c r="P9" s="187" t="str">
        <f>IF(O8&gt;=0," Betalt for meget, sænk skønnet forbrug "," Betalt for lidt, hæv skønnet forbrug ")</f>
        <v xml:space="preserve"> Betalt for meget, sænk skønnet forbrug </v>
      </c>
      <c r="Q9" s="188"/>
      <c r="R9" s="189"/>
      <c r="S9" s="37">
        <f>C9+G9+K9+O9</f>
        <v>561.5520523103346</v>
      </c>
      <c r="T9" s="188" t="str">
        <f>IF(S8&gt;=0," Betalt for meget i 2022 "," Betalt for lidt i 2022 ")</f>
        <v xml:space="preserve"> Betalt for meget i 2022 </v>
      </c>
      <c r="U9" s="189"/>
      <c r="W9" s="220" t="s">
        <v>93</v>
      </c>
      <c r="X9" s="220"/>
      <c r="Y9" s="220"/>
      <c r="Z9" s="220"/>
      <c r="AA9" s="220"/>
      <c r="AB9" s="220"/>
      <c r="AC9" s="220"/>
      <c r="AD9" s="220"/>
    </row>
    <row r="10" spans="2:30" ht="19.5" thickBot="1">
      <c r="W10" s="139">
        <v>2</v>
      </c>
      <c r="X10" s="13">
        <f>U6</f>
        <v>2076.5700000000002</v>
      </c>
      <c r="Y10" s="4" t="s">
        <v>44</v>
      </c>
      <c r="Z10" s="4" t="s">
        <v>45</v>
      </c>
      <c r="AA10" s="50">
        <f>U31</f>
        <v>4.3746040694510651</v>
      </c>
      <c r="AB10" s="4" t="s">
        <v>46</v>
      </c>
      <c r="AC10" s="110">
        <f>X10*AA10</f>
        <v>9084.1715724999995</v>
      </c>
      <c r="AD10" s="71"/>
    </row>
    <row r="11" spans="2:30" ht="19.5" thickBot="1">
      <c r="B11" s="8" t="s">
        <v>49</v>
      </c>
      <c r="C11" s="172" t="s">
        <v>34</v>
      </c>
      <c r="D11" s="173"/>
      <c r="E11" s="173"/>
      <c r="F11" s="177"/>
      <c r="G11" s="172" t="s">
        <v>32</v>
      </c>
      <c r="H11" s="173"/>
      <c r="I11" s="173"/>
      <c r="J11" s="177"/>
      <c r="K11" s="172" t="s">
        <v>35</v>
      </c>
      <c r="L11" s="173"/>
      <c r="M11" s="173"/>
      <c r="N11" s="177"/>
      <c r="O11" s="172" t="s">
        <v>36</v>
      </c>
      <c r="P11" s="173"/>
      <c r="Q11" s="173"/>
      <c r="R11" s="177"/>
      <c r="S11" s="172" t="s">
        <v>33</v>
      </c>
      <c r="T11" s="173"/>
      <c r="U11" s="177"/>
      <c r="W11" s="108" t="s">
        <v>62</v>
      </c>
      <c r="X11" s="4">
        <f>+W10</f>
        <v>2</v>
      </c>
      <c r="Y11" s="208" t="s">
        <v>70</v>
      </c>
      <c r="Z11" s="208"/>
      <c r="AA11" s="13">
        <f>+X10</f>
        <v>2076.5700000000002</v>
      </c>
      <c r="AB11" s="4" t="s">
        <v>44</v>
      </c>
      <c r="AC11" s="111">
        <f>+AC10</f>
        <v>9084.1715724999995</v>
      </c>
      <c r="AD11" s="1" t="s">
        <v>71</v>
      </c>
    </row>
    <row r="12" spans="2:30">
      <c r="B12" s="76">
        <f>ROUND(C7-C6,0)</f>
        <v>38</v>
      </c>
      <c r="C12" s="178" t="s">
        <v>15</v>
      </c>
      <c r="D12" s="179"/>
      <c r="E12" s="146">
        <v>1.337</v>
      </c>
      <c r="F12" s="7"/>
      <c r="G12" s="178" t="s">
        <v>15</v>
      </c>
      <c r="H12" s="179"/>
      <c r="I12" s="146">
        <v>1.7558</v>
      </c>
      <c r="J12" s="7"/>
      <c r="K12" s="178" t="s">
        <v>15</v>
      </c>
      <c r="L12" s="179"/>
      <c r="M12" s="146">
        <v>1.7223999999999999</v>
      </c>
      <c r="N12" s="7"/>
      <c r="O12" s="178" t="s">
        <v>15</v>
      </c>
      <c r="P12" s="179"/>
      <c r="Q12" s="146">
        <v>3.9573</v>
      </c>
      <c r="R12" s="7"/>
      <c r="S12" s="206" t="s">
        <v>54</v>
      </c>
      <c r="T12" s="207"/>
      <c r="U12" s="23">
        <f>U14/U13</f>
        <v>2.2010073794767329</v>
      </c>
      <c r="X12" s="4">
        <v>1</v>
      </c>
      <c r="Y12" s="208" t="s">
        <v>72</v>
      </c>
      <c r="Z12" s="208"/>
      <c r="AA12" s="13">
        <f>AA11/X11</f>
        <v>1038.2850000000001</v>
      </c>
      <c r="AB12" s="4" t="s">
        <v>44</v>
      </c>
      <c r="AC12" s="111">
        <f>AC11/X11</f>
        <v>4542.0857862499997</v>
      </c>
      <c r="AD12" s="1" t="s">
        <v>71</v>
      </c>
    </row>
    <row r="13" spans="2:30" ht="19.5" thickBot="1">
      <c r="B13" s="14" t="str">
        <f>IF(C8&gt;=0," for meget "," for lidt ")</f>
        <v xml:space="preserve"> for meget </v>
      </c>
      <c r="C13" s="170" t="s">
        <v>37</v>
      </c>
      <c r="D13" s="171"/>
      <c r="E13" s="4" t="s">
        <v>21</v>
      </c>
      <c r="F13" s="17">
        <f>+C6</f>
        <v>523.44000000000005</v>
      </c>
      <c r="G13" s="170" t="s">
        <v>20</v>
      </c>
      <c r="H13" s="171"/>
      <c r="I13" s="4" t="s">
        <v>21</v>
      </c>
      <c r="J13" s="17">
        <f>G6</f>
        <v>533.03</v>
      </c>
      <c r="K13" s="170" t="s">
        <v>38</v>
      </c>
      <c r="L13" s="171"/>
      <c r="M13" s="4" t="s">
        <v>21</v>
      </c>
      <c r="N13" s="17">
        <f>K6</f>
        <v>493.1</v>
      </c>
      <c r="O13" s="170" t="s">
        <v>39</v>
      </c>
      <c r="P13" s="171"/>
      <c r="Q13" s="4" t="s">
        <v>21</v>
      </c>
      <c r="R13" s="17">
        <f>O6</f>
        <v>527</v>
      </c>
      <c r="S13" s="170" t="s">
        <v>53</v>
      </c>
      <c r="T13" s="171"/>
      <c r="U13" s="20">
        <f>F13+J13+N13+R13</f>
        <v>2076.5700000000002</v>
      </c>
      <c r="W13" s="114" t="s">
        <v>75</v>
      </c>
      <c r="X13" s="112"/>
      <c r="Y13" s="112"/>
      <c r="Z13" s="113"/>
      <c r="AA13" s="113"/>
      <c r="AB13" s="116" t="str">
        <f>IF(AC13&gt;=0," mere ","mindre ")</f>
        <v xml:space="preserve"> mere </v>
      </c>
      <c r="AC13" s="115">
        <f>AC12-AC8</f>
        <v>702.08578624999973</v>
      </c>
      <c r="AD13" s="113" t="s">
        <v>71</v>
      </c>
    </row>
    <row r="14" spans="2:30" ht="19.5" thickBot="1">
      <c r="C14" s="175" t="s">
        <v>69</v>
      </c>
      <c r="D14" s="176"/>
      <c r="E14" s="9"/>
      <c r="F14" s="45">
        <f>E12*F13</f>
        <v>699.83928000000003</v>
      </c>
      <c r="G14" s="175" t="s">
        <v>69</v>
      </c>
      <c r="H14" s="176"/>
      <c r="I14" s="9"/>
      <c r="J14" s="45">
        <f>I12*J13</f>
        <v>935.89407399999993</v>
      </c>
      <c r="K14" s="175" t="s">
        <v>69</v>
      </c>
      <c r="L14" s="176"/>
      <c r="M14" s="9"/>
      <c r="N14" s="45">
        <f>M12*N13</f>
        <v>849.31543999999997</v>
      </c>
      <c r="O14" s="175" t="s">
        <v>69</v>
      </c>
      <c r="P14" s="176"/>
      <c r="Q14" s="9"/>
      <c r="R14" s="45">
        <f>Q12*R13</f>
        <v>2085.4971</v>
      </c>
      <c r="S14" s="175" t="s">
        <v>69</v>
      </c>
      <c r="T14" s="176"/>
      <c r="U14" s="46">
        <f>F14+J14+N14+R14</f>
        <v>4570.5458939999999</v>
      </c>
      <c r="W14" s="63"/>
      <c r="X14" s="63"/>
      <c r="Y14" s="63"/>
      <c r="Z14" s="63"/>
      <c r="AA14" s="63"/>
      <c r="AB14" s="63"/>
      <c r="AC14" s="63"/>
      <c r="AD14" s="63"/>
    </row>
    <row r="15" spans="2:30" ht="19.5" thickBot="1">
      <c r="B15" s="8" t="s">
        <v>50</v>
      </c>
      <c r="C15" s="172" t="s">
        <v>22</v>
      </c>
      <c r="D15" s="173"/>
      <c r="E15" s="173"/>
      <c r="F15" s="177"/>
      <c r="G15" s="172" t="s">
        <v>22</v>
      </c>
      <c r="H15" s="173"/>
      <c r="I15" s="173"/>
      <c r="J15" s="177"/>
      <c r="K15" s="172" t="s">
        <v>22</v>
      </c>
      <c r="L15" s="173"/>
      <c r="M15" s="173"/>
      <c r="N15" s="177"/>
      <c r="O15" s="172" t="s">
        <v>22</v>
      </c>
      <c r="P15" s="173"/>
      <c r="Q15" s="173"/>
      <c r="R15" s="177"/>
      <c r="S15" s="172" t="s">
        <v>22</v>
      </c>
      <c r="T15" s="173"/>
      <c r="U15" s="177"/>
    </row>
    <row r="16" spans="2:30">
      <c r="B16" s="76">
        <f>+ROUND(G7-G6,0)</f>
        <v>34</v>
      </c>
      <c r="C16" s="178" t="s">
        <v>31</v>
      </c>
      <c r="D16" s="179"/>
      <c r="E16" s="6"/>
      <c r="F16" s="132">
        <v>69.599999999999994</v>
      </c>
      <c r="G16" s="178" t="s">
        <v>31</v>
      </c>
      <c r="H16" s="179"/>
      <c r="I16" s="6"/>
      <c r="J16" s="132">
        <v>69.599999999999994</v>
      </c>
      <c r="K16" s="178" t="s">
        <v>31</v>
      </c>
      <c r="L16" s="179"/>
      <c r="M16" s="6"/>
      <c r="N16" s="132">
        <v>69.599999999999994</v>
      </c>
      <c r="O16" s="178" t="s">
        <v>31</v>
      </c>
      <c r="P16" s="179"/>
      <c r="Q16" s="6"/>
      <c r="R16" s="132">
        <v>69.599999999999994</v>
      </c>
      <c r="S16" s="178" t="s">
        <v>31</v>
      </c>
      <c r="T16" s="179"/>
      <c r="U16" s="107">
        <f t="shared" ref="U16:U20" si="5">F16+J16+N16+R16</f>
        <v>278.39999999999998</v>
      </c>
    </row>
    <row r="17" spans="2:21" ht="19.5" thickBot="1">
      <c r="B17" s="14" t="str">
        <f>IF(G8&gt;=0," for meget "," for lidt ")</f>
        <v xml:space="preserve"> for meget </v>
      </c>
      <c r="C17" s="170" t="s">
        <v>16</v>
      </c>
      <c r="D17" s="171"/>
      <c r="E17" s="147">
        <v>0.24440000000000001</v>
      </c>
      <c r="F17" s="98">
        <f>E17*F13</f>
        <v>127.92873600000001</v>
      </c>
      <c r="G17" s="170" t="s">
        <v>16</v>
      </c>
      <c r="H17" s="171"/>
      <c r="I17" s="147">
        <v>0.22800000000000001</v>
      </c>
      <c r="J17" s="98">
        <f>I17*J13</f>
        <v>121.53084</v>
      </c>
      <c r="K17" s="170" t="s">
        <v>16</v>
      </c>
      <c r="L17" s="171"/>
      <c r="M17" s="147">
        <v>0.28349999999999997</v>
      </c>
      <c r="N17" s="98">
        <f>M17*N13</f>
        <v>139.79384999999999</v>
      </c>
      <c r="O17" s="170" t="s">
        <v>16</v>
      </c>
      <c r="P17" s="171"/>
      <c r="Q17" s="147">
        <v>0.31530000000000002</v>
      </c>
      <c r="R17" s="98">
        <f>Q17*R13</f>
        <v>166.16310000000001</v>
      </c>
      <c r="S17" s="170" t="s">
        <v>16</v>
      </c>
      <c r="T17" s="171"/>
      <c r="U17" s="107">
        <f t="shared" si="5"/>
        <v>555.41652599999998</v>
      </c>
    </row>
    <row r="18" spans="2:21" ht="19.5" thickBot="1">
      <c r="C18" s="170" t="s">
        <v>17</v>
      </c>
      <c r="D18" s="171"/>
      <c r="E18" s="147">
        <f>-0.1081</f>
        <v>-0.1081</v>
      </c>
      <c r="F18" s="98">
        <f>E18*F13</f>
        <v>-56.583864000000005</v>
      </c>
      <c r="G18" s="170" t="s">
        <v>17</v>
      </c>
      <c r="H18" s="171"/>
      <c r="I18" s="147">
        <f>-0.1039</f>
        <v>-0.10390000000000001</v>
      </c>
      <c r="J18" s="98">
        <f>I18*J13</f>
        <v>-55.381816999999998</v>
      </c>
      <c r="K18" s="170" t="s">
        <v>17</v>
      </c>
      <c r="L18" s="171"/>
      <c r="M18" s="147">
        <f>-0.1039</f>
        <v>-0.10390000000000001</v>
      </c>
      <c r="N18" s="98">
        <f>M18*N13</f>
        <v>-51.233090000000004</v>
      </c>
      <c r="O18" s="170" t="s">
        <v>17</v>
      </c>
      <c r="P18" s="171"/>
      <c r="Q18" s="151">
        <f>-0.1039</f>
        <v>-0.10390000000000001</v>
      </c>
      <c r="R18" s="98">
        <f>Q18*R13</f>
        <v>-54.755300000000005</v>
      </c>
      <c r="S18" s="170" t="s">
        <v>17</v>
      </c>
      <c r="T18" s="171"/>
      <c r="U18" s="107">
        <f t="shared" si="5"/>
        <v>-217.95407100000003</v>
      </c>
    </row>
    <row r="19" spans="2:21">
      <c r="B19" s="8" t="s">
        <v>51</v>
      </c>
      <c r="C19" s="183" t="s">
        <v>18</v>
      </c>
      <c r="D19" s="184"/>
      <c r="E19" s="10"/>
      <c r="F19" s="148">
        <v>72.510000000000005</v>
      </c>
      <c r="G19" s="183" t="s">
        <v>18</v>
      </c>
      <c r="H19" s="184"/>
      <c r="I19" s="10"/>
      <c r="J19" s="148">
        <v>72.510000000000005</v>
      </c>
      <c r="K19" s="183" t="s">
        <v>18</v>
      </c>
      <c r="L19" s="184"/>
      <c r="M19" s="10"/>
      <c r="N19" s="148">
        <v>72.510000000000005</v>
      </c>
      <c r="O19" s="183" t="s">
        <v>18</v>
      </c>
      <c r="P19" s="184"/>
      <c r="Q19" s="10"/>
      <c r="R19" s="148">
        <v>72.510000000000005</v>
      </c>
      <c r="S19" s="183" t="s">
        <v>18</v>
      </c>
      <c r="T19" s="184"/>
      <c r="U19" s="107">
        <f t="shared" si="5"/>
        <v>290.04000000000002</v>
      </c>
    </row>
    <row r="20" spans="2:21" ht="19.5" thickBot="1">
      <c r="B20" s="76">
        <f>ROUND(K7-K6,0)</f>
        <v>81</v>
      </c>
      <c r="C20" s="175" t="s">
        <v>19</v>
      </c>
      <c r="D20" s="176"/>
      <c r="E20" s="135">
        <v>0.5</v>
      </c>
      <c r="F20" s="97">
        <f>-E20*F19</f>
        <v>-36.255000000000003</v>
      </c>
      <c r="G20" s="175" t="s">
        <v>19</v>
      </c>
      <c r="H20" s="176"/>
      <c r="I20" s="135">
        <v>0.5</v>
      </c>
      <c r="J20" s="97">
        <f>-I20*J19</f>
        <v>-36.255000000000003</v>
      </c>
      <c r="K20" s="175" t="s">
        <v>19</v>
      </c>
      <c r="L20" s="176"/>
      <c r="M20" s="135">
        <v>0.5</v>
      </c>
      <c r="N20" s="97">
        <f>-M20*N19</f>
        <v>-36.255000000000003</v>
      </c>
      <c r="O20" s="175" t="s">
        <v>19</v>
      </c>
      <c r="P20" s="176"/>
      <c r="Q20" s="135">
        <v>0.5</v>
      </c>
      <c r="R20" s="97">
        <f>-Q20*R19</f>
        <v>-36.255000000000003</v>
      </c>
      <c r="S20" s="175" t="s">
        <v>19</v>
      </c>
      <c r="T20" s="176"/>
      <c r="U20" s="107">
        <f t="shared" si="5"/>
        <v>-145.02000000000001</v>
      </c>
    </row>
    <row r="21" spans="2:21" ht="19.5" thickBot="1">
      <c r="B21" s="14" t="str">
        <f>IF(K8&gt;=0," for meget "," for lidt ")</f>
        <v xml:space="preserve"> for meget </v>
      </c>
      <c r="C21" s="172" t="s">
        <v>23</v>
      </c>
      <c r="D21" s="173"/>
      <c r="E21" s="173"/>
      <c r="F21" s="177"/>
      <c r="G21" s="172" t="s">
        <v>23</v>
      </c>
      <c r="H21" s="173"/>
      <c r="I21" s="173"/>
      <c r="J21" s="177"/>
      <c r="K21" s="172" t="s">
        <v>23</v>
      </c>
      <c r="L21" s="173"/>
      <c r="M21" s="173"/>
      <c r="N21" s="177"/>
      <c r="O21" s="172" t="s">
        <v>23</v>
      </c>
      <c r="P21" s="173"/>
      <c r="Q21" s="173"/>
      <c r="R21" s="177"/>
      <c r="S21" s="172" t="s">
        <v>23</v>
      </c>
      <c r="T21" s="173"/>
      <c r="U21" s="177"/>
    </row>
    <row r="22" spans="2:21" ht="19.5" thickBot="1">
      <c r="C22" s="178" t="s">
        <v>24</v>
      </c>
      <c r="D22" s="179"/>
      <c r="E22" s="149">
        <v>2.3E-3</v>
      </c>
      <c r="F22" s="99">
        <f>E22*331</f>
        <v>0.76129999999999998</v>
      </c>
      <c r="G22" s="178" t="s">
        <v>24</v>
      </c>
      <c r="H22" s="179"/>
      <c r="I22" s="149">
        <v>2.3E-3</v>
      </c>
      <c r="J22" s="105">
        <f>I22*J13</f>
        <v>1.2259689999999999</v>
      </c>
      <c r="K22" s="178" t="s">
        <v>24</v>
      </c>
      <c r="L22" s="179"/>
      <c r="M22" s="149">
        <v>2.3E-3</v>
      </c>
      <c r="N22" s="105">
        <f>M22*N13</f>
        <v>1.1341300000000001</v>
      </c>
      <c r="O22" s="178" t="s">
        <v>24</v>
      </c>
      <c r="P22" s="179"/>
      <c r="Q22" s="152">
        <v>2.3E-3</v>
      </c>
      <c r="R22" s="105">
        <f>Q22*R13</f>
        <v>1.2121</v>
      </c>
      <c r="S22" s="178" t="s">
        <v>24</v>
      </c>
      <c r="T22" s="179"/>
      <c r="U22" s="107">
        <f t="shared" ref="U22:U24" si="6">F22+J22+N22+R22</f>
        <v>4.3334989999999998</v>
      </c>
    </row>
    <row r="23" spans="2:21">
      <c r="B23" s="8" t="s">
        <v>52</v>
      </c>
      <c r="C23" s="170" t="s">
        <v>25</v>
      </c>
      <c r="D23" s="171"/>
      <c r="E23" s="147">
        <v>4.9000000000000002E-2</v>
      </c>
      <c r="F23" s="98">
        <f>E23*F13</f>
        <v>25.648560000000003</v>
      </c>
      <c r="G23" s="170" t="s">
        <v>25</v>
      </c>
      <c r="H23" s="171"/>
      <c r="I23" s="147">
        <v>4.9000000000000002E-2</v>
      </c>
      <c r="J23" s="98">
        <f>I23*J13</f>
        <v>26.118469999999999</v>
      </c>
      <c r="K23" s="170" t="s">
        <v>25</v>
      </c>
      <c r="L23" s="171"/>
      <c r="M23" s="147">
        <v>4.9000000000000002E-2</v>
      </c>
      <c r="N23" s="98">
        <f>M23*N13</f>
        <v>24.161900000000003</v>
      </c>
      <c r="O23" s="170" t="s">
        <v>25</v>
      </c>
      <c r="P23" s="171"/>
      <c r="Q23" s="151">
        <v>4.9000000000000002E-2</v>
      </c>
      <c r="R23" s="98">
        <f>Q23*R13</f>
        <v>25.823</v>
      </c>
      <c r="S23" s="170" t="s">
        <v>25</v>
      </c>
      <c r="T23" s="171"/>
      <c r="U23" s="107">
        <f t="shared" si="6"/>
        <v>101.75193000000002</v>
      </c>
    </row>
    <row r="24" spans="2:21" ht="19.5" thickBot="1">
      <c r="B24" s="76">
        <f>ROUND(O7-O6,0)</f>
        <v>0</v>
      </c>
      <c r="C24" s="175" t="s">
        <v>26</v>
      </c>
      <c r="D24" s="176"/>
      <c r="E24" s="150">
        <v>6.0999999999999999E-2</v>
      </c>
      <c r="F24" s="106">
        <f>E24*F13</f>
        <v>31.929840000000002</v>
      </c>
      <c r="G24" s="175" t="s">
        <v>26</v>
      </c>
      <c r="H24" s="176"/>
      <c r="I24" s="150">
        <v>6.0999999999999999E-2</v>
      </c>
      <c r="J24" s="106">
        <f>I24*J13</f>
        <v>32.514829999999996</v>
      </c>
      <c r="K24" s="175" t="s">
        <v>26</v>
      </c>
      <c r="L24" s="176"/>
      <c r="M24" s="150">
        <v>6.0999999999999999E-2</v>
      </c>
      <c r="N24" s="106">
        <f>M24*N13</f>
        <v>30.0791</v>
      </c>
      <c r="O24" s="175" t="s">
        <v>26</v>
      </c>
      <c r="P24" s="176"/>
      <c r="Q24" s="153">
        <v>6.0999999999999999E-2</v>
      </c>
      <c r="R24" s="106">
        <f>Q24*R13</f>
        <v>32.146999999999998</v>
      </c>
      <c r="S24" s="175" t="s">
        <v>26</v>
      </c>
      <c r="T24" s="176"/>
      <c r="U24" s="107">
        <f t="shared" si="6"/>
        <v>126.67077</v>
      </c>
    </row>
    <row r="25" spans="2:21" ht="19.5" thickBot="1">
      <c r="B25" s="14" t="str">
        <f>IF(O8&gt;=0," for meget "," for lidt ")</f>
        <v xml:space="preserve"> for meget </v>
      </c>
      <c r="C25" s="172" t="s">
        <v>27</v>
      </c>
      <c r="D25" s="173"/>
      <c r="E25" s="173"/>
      <c r="F25" s="177"/>
      <c r="G25" s="172" t="s">
        <v>27</v>
      </c>
      <c r="H25" s="173"/>
      <c r="I25" s="173"/>
      <c r="J25" s="177"/>
      <c r="K25" s="172" t="s">
        <v>27</v>
      </c>
      <c r="L25" s="173"/>
      <c r="M25" s="173"/>
      <c r="N25" s="177"/>
      <c r="O25" s="172" t="s">
        <v>27</v>
      </c>
      <c r="P25" s="173"/>
      <c r="Q25" s="173"/>
      <c r="R25" s="177"/>
      <c r="S25" s="172" t="s">
        <v>27</v>
      </c>
      <c r="T25" s="173"/>
      <c r="U25" s="177"/>
    </row>
    <row r="26" spans="2:21" ht="19.5" thickBot="1">
      <c r="C26" s="178" t="s">
        <v>28</v>
      </c>
      <c r="D26" s="179"/>
      <c r="E26" s="149">
        <v>0</v>
      </c>
      <c r="F26" s="105">
        <f>E26*F13</f>
        <v>0</v>
      </c>
      <c r="G26" s="178" t="s">
        <v>28</v>
      </c>
      <c r="H26" s="179"/>
      <c r="I26" s="149">
        <v>-4.3999999999999997E-2</v>
      </c>
      <c r="J26" s="96">
        <f>I26*184</f>
        <v>-8.0960000000000001</v>
      </c>
      <c r="K26" s="178" t="s">
        <v>28</v>
      </c>
      <c r="L26" s="179"/>
      <c r="M26" s="149">
        <v>0</v>
      </c>
      <c r="N26" s="105">
        <f>M26*N13</f>
        <v>0</v>
      </c>
      <c r="O26" s="178" t="s">
        <v>28</v>
      </c>
      <c r="P26" s="179"/>
      <c r="Q26" s="149">
        <v>0</v>
      </c>
      <c r="R26" s="105">
        <f>Q26*R13</f>
        <v>0</v>
      </c>
      <c r="S26" s="178" t="s">
        <v>28</v>
      </c>
      <c r="T26" s="179"/>
      <c r="U26" s="107">
        <f t="shared" ref="U26:U28" si="7">F26+J26+N26+R26</f>
        <v>-8.0960000000000001</v>
      </c>
    </row>
    <row r="27" spans="2:21">
      <c r="B27" s="8">
        <v>2022</v>
      </c>
      <c r="C27" s="170" t="s">
        <v>29</v>
      </c>
      <c r="D27" s="171"/>
      <c r="E27" s="147">
        <v>0.90300000000000002</v>
      </c>
      <c r="F27" s="98">
        <f>E27*F13</f>
        <v>472.66632000000004</v>
      </c>
      <c r="G27" s="170" t="s">
        <v>29</v>
      </c>
      <c r="H27" s="171"/>
      <c r="I27" s="147">
        <v>0.90300000000000002</v>
      </c>
      <c r="J27" s="98">
        <f>I27*J13</f>
        <v>481.32608999999997</v>
      </c>
      <c r="K27" s="170" t="s">
        <v>29</v>
      </c>
      <c r="L27" s="171"/>
      <c r="M27" s="147">
        <v>0.76300000000000001</v>
      </c>
      <c r="N27" s="98">
        <f>M27*N13</f>
        <v>376.2353</v>
      </c>
      <c r="O27" s="170" t="s">
        <v>29</v>
      </c>
      <c r="P27" s="171"/>
      <c r="Q27" s="151">
        <v>0.72299999999999998</v>
      </c>
      <c r="R27" s="98">
        <f>Q27*R13</f>
        <v>381.02100000000002</v>
      </c>
      <c r="S27" s="170" t="s">
        <v>29</v>
      </c>
      <c r="T27" s="171"/>
      <c r="U27" s="107">
        <f t="shared" si="7"/>
        <v>1711.2487100000001</v>
      </c>
    </row>
    <row r="28" spans="2:21" ht="19.5" thickBot="1">
      <c r="B28" s="76">
        <f>ROUND(U7-U6,0)</f>
        <v>152</v>
      </c>
      <c r="C28" s="175" t="s">
        <v>40</v>
      </c>
      <c r="D28" s="176"/>
      <c r="E28" s="50">
        <f>+F14+F16+F17+F18+F19+F20+F22+F23+F24+F26+F27</f>
        <v>1408.0451720000001</v>
      </c>
      <c r="F28" s="47">
        <f>E28*25%</f>
        <v>352.01129300000002</v>
      </c>
      <c r="G28" s="175" t="s">
        <v>40</v>
      </c>
      <c r="H28" s="176"/>
      <c r="I28" s="50">
        <f>+J14+J16+J17+J18+J19+J20+J22+J23+J24+J26+J27</f>
        <v>1640.9874559999998</v>
      </c>
      <c r="J28" s="47">
        <f>I28*25%</f>
        <v>410.24686399999996</v>
      </c>
      <c r="K28" s="175" t="s">
        <v>40</v>
      </c>
      <c r="L28" s="176"/>
      <c r="M28" s="50">
        <f>+N14+N16+N17+N18+N19+N20+N22+N23+N24+N26+N27</f>
        <v>1475.3416299999999</v>
      </c>
      <c r="N28" s="47">
        <f>M28*25%</f>
        <v>368.83540749999997</v>
      </c>
      <c r="O28" s="175" t="s">
        <v>40</v>
      </c>
      <c r="P28" s="176"/>
      <c r="Q28" s="50">
        <f>+R14+R16+R17+R18+R19+R20+R22+R23+R24+R26+R27</f>
        <v>2742.9630000000006</v>
      </c>
      <c r="R28" s="47">
        <f>Q28*25%</f>
        <v>685.74075000000016</v>
      </c>
      <c r="S28" s="175" t="s">
        <v>30</v>
      </c>
      <c r="T28" s="176"/>
      <c r="U28" s="107">
        <f t="shared" si="7"/>
        <v>1816.8343145000001</v>
      </c>
    </row>
    <row r="29" spans="2:21" ht="19.5" thickBot="1">
      <c r="B29" s="14" t="str">
        <f>IF(S8&gt;=0," for meget "," for lidt ")</f>
        <v xml:space="preserve"> for meget </v>
      </c>
      <c r="C29" s="172" t="str">
        <f>CONCATENATE("I alt ",Manual!$G$4)</f>
        <v>I alt Norlys Energi A/S</v>
      </c>
      <c r="D29" s="173"/>
      <c r="E29" s="174"/>
      <c r="F29" s="49">
        <f>F14+F16+F17+F18+F19+F20+F22+F23+F24+F26+F27+F28</f>
        <v>1760.0564650000001</v>
      </c>
      <c r="G29" s="172" t="str">
        <f>CONCATENATE("I alt ",Manual!$G$4)</f>
        <v>I alt Norlys Energi A/S</v>
      </c>
      <c r="H29" s="173"/>
      <c r="I29" s="174"/>
      <c r="J29" s="49">
        <f>J14+J16+J17+J18+J19+J20+J22+J23+J24+J26+J27+J28</f>
        <v>2051.2343199999996</v>
      </c>
      <c r="K29" s="172" t="str">
        <f>CONCATENATE("I alt ",Manual!$G$4)</f>
        <v>I alt Norlys Energi A/S</v>
      </c>
      <c r="L29" s="173"/>
      <c r="M29" s="174"/>
      <c r="N29" s="49">
        <f>N14+N16+N17+N18+N19+N20+N22+N23+N24+N26+N27+N28</f>
        <v>1844.1770374999999</v>
      </c>
      <c r="O29" s="172" t="str">
        <f>CONCATENATE("I alt ",Manual!$G$4)</f>
        <v>I alt Norlys Energi A/S</v>
      </c>
      <c r="P29" s="173"/>
      <c r="Q29" s="174"/>
      <c r="R29" s="49">
        <f>R14+R16+R17+R18+R19+R20+R22+R23+R24+R26+R27+R28</f>
        <v>3428.7037500000006</v>
      </c>
      <c r="S29" s="172" t="str">
        <f>CONCATENATE("I alt ",Manual!$G$4)</f>
        <v>I alt Norlys Energi A/S</v>
      </c>
      <c r="T29" s="174"/>
      <c r="U29" s="49">
        <f>U14+U16+U17+U18+U19+U20+U22+U23+U24+U26+U27+U28</f>
        <v>9084.1715724999995</v>
      </c>
    </row>
    <row r="30" spans="2:21" ht="21.75" thickBot="1">
      <c r="C30" s="165" t="str">
        <f>CONCATENATE("GENNEMSNIT PRISER PER kWh I ",B3," ER INCL. ALLE AFGIFTER MED MOMS")</f>
        <v>GENNEMSNIT PRISER PER kWh I 2022 ER INCL. ALLE AFGIFTER MED MOMS</v>
      </c>
      <c r="D30" s="164"/>
      <c r="E30" s="164"/>
      <c r="F30" s="164"/>
      <c r="G30" s="164"/>
      <c r="H30" s="164"/>
      <c r="I30" s="164"/>
      <c r="J30" s="164"/>
      <c r="K30" s="164"/>
      <c r="L30" s="164"/>
      <c r="M30" s="164"/>
      <c r="N30" s="164"/>
      <c r="O30" s="164"/>
      <c r="P30" s="164"/>
      <c r="Q30" s="164"/>
      <c r="R30" s="164"/>
      <c r="S30" s="164"/>
      <c r="T30" s="164"/>
      <c r="U30" s="166"/>
    </row>
    <row r="31" spans="2:21" ht="19.5" thickBot="1">
      <c r="C31" s="172" t="str">
        <f>CONCATENATE("Gennemsnit per kWh 1. kvartal ",$B$3)</f>
        <v>Gennemsnit per kWh 1. kvartal 2022</v>
      </c>
      <c r="D31" s="173"/>
      <c r="E31" s="173"/>
      <c r="F31" s="51">
        <f>F29/F13</f>
        <v>3.362479873528962</v>
      </c>
      <c r="G31" s="172" t="str">
        <f>CONCATENATE("Gennemsnit per kWh 2. kvartal ",$B$3)</f>
        <v>Gennemsnit per kWh 2. kvartal 2022</v>
      </c>
      <c r="H31" s="173"/>
      <c r="I31" s="173"/>
      <c r="J31" s="51">
        <f>J29/G6</f>
        <v>3.8482530439187284</v>
      </c>
      <c r="K31" s="172" t="str">
        <f>CONCATENATE("Gennemsnit per kWh 3. kvartal ",$B$3)</f>
        <v>Gennemsnit per kWh 3. kvartal 2022</v>
      </c>
      <c r="L31" s="173"/>
      <c r="M31" s="173"/>
      <c r="N31" s="51">
        <f>N29/K6</f>
        <v>3.7399656002839174</v>
      </c>
      <c r="O31" s="172" t="str">
        <f>CONCATENATE("Gennemsnit per kWh 4. kvartal ",$B$3)</f>
        <v>Gennemsnit per kWh 4. kvartal 2022</v>
      </c>
      <c r="P31" s="173"/>
      <c r="Q31" s="173"/>
      <c r="R31" s="51">
        <f>R29/O6</f>
        <v>6.5060792220113859</v>
      </c>
      <c r="S31" s="172" t="str">
        <f>CONCATENATE("EL Gennemsnit/kWh ",$B$3)</f>
        <v>EL Gennemsnit/kWh 2022</v>
      </c>
      <c r="T31" s="173"/>
      <c r="U31" s="52">
        <f>U29/U6</f>
        <v>4.3746040694510651</v>
      </c>
    </row>
    <row r="32" spans="2:21" ht="19.5" thickBot="1"/>
    <row r="33" spans="2:24" ht="21.75" thickBot="1">
      <c r="C33" s="165" t="str">
        <f>CONCATENATE("BETALINGSSERVICE ",B3," AF EL TIL ",Manual!$G$4," PER KVARTAL")</f>
        <v>BETALINGSSERVICE 2022 AF EL TIL Norlys Energi A/S PER KVARTAL</v>
      </c>
      <c r="D33" s="164"/>
      <c r="E33" s="164"/>
      <c r="F33" s="164"/>
      <c r="G33" s="164"/>
      <c r="H33" s="164"/>
      <c r="I33" s="164"/>
      <c r="J33" s="164"/>
      <c r="K33" s="164"/>
      <c r="L33" s="164"/>
      <c r="M33" s="164"/>
      <c r="N33" s="164"/>
      <c r="O33" s="164"/>
      <c r="P33" s="164"/>
      <c r="Q33" s="164"/>
      <c r="R33" s="164"/>
      <c r="S33" s="164"/>
      <c r="T33" s="164"/>
      <c r="U33" s="166"/>
      <c r="W33" s="117" t="s">
        <v>56</v>
      </c>
      <c r="X33" s="118">
        <f>+T35</f>
        <v>8871.18</v>
      </c>
    </row>
    <row r="34" spans="2:24">
      <c r="B34" s="32"/>
      <c r="C34" s="167" t="str">
        <f>+B11</f>
        <v>1. kvartal</v>
      </c>
      <c r="D34" s="168"/>
      <c r="E34" s="168"/>
      <c r="F34" s="169"/>
      <c r="G34" s="167" t="str">
        <f>+B15</f>
        <v>2. kvartal</v>
      </c>
      <c r="H34" s="168"/>
      <c r="I34" s="168"/>
      <c r="J34" s="169"/>
      <c r="K34" s="167" t="str">
        <f>+B19</f>
        <v>3. kvartal</v>
      </c>
      <c r="L34" s="168"/>
      <c r="M34" s="168"/>
      <c r="N34" s="169"/>
      <c r="O34" s="167" t="str">
        <f>+B23</f>
        <v>4. kvartal</v>
      </c>
      <c r="P34" s="168"/>
      <c r="Q34" s="168"/>
      <c r="R34" s="169"/>
      <c r="S34" s="167">
        <f>+B3</f>
        <v>2022</v>
      </c>
      <c r="T34" s="168"/>
      <c r="U34" s="169"/>
      <c r="W34" s="117" t="str">
        <f>Manual!$G$4</f>
        <v>Norlys Energi A/S</v>
      </c>
      <c r="X34" s="118">
        <f>+T37</f>
        <v>9084.1715724999995</v>
      </c>
    </row>
    <row r="35" spans="2:24" ht="19.5" thickBot="1">
      <c r="B35" s="32"/>
      <c r="C35" s="40"/>
      <c r="D35" s="154">
        <v>1657.3</v>
      </c>
      <c r="E35" s="41"/>
      <c r="F35" s="42"/>
      <c r="G35" s="40"/>
      <c r="H35" s="154">
        <v>2076.64</v>
      </c>
      <c r="I35" s="41"/>
      <c r="J35" s="42"/>
      <c r="K35" s="40"/>
      <c r="L35" s="154">
        <v>1993.96</v>
      </c>
      <c r="M35" s="41"/>
      <c r="N35" s="42"/>
      <c r="O35" s="40"/>
      <c r="P35" s="154">
        <v>3143.28</v>
      </c>
      <c r="Q35" s="41"/>
      <c r="R35" s="42"/>
      <c r="S35" s="40"/>
      <c r="T35" s="61">
        <f>SUM(C35:R35)</f>
        <v>8871.18</v>
      </c>
      <c r="U35" s="42"/>
      <c r="W35" s="117" t="str">
        <f>IF(X35&gt;=0," Betalt for meget "," Betalt for lidt ")</f>
        <v xml:space="preserve"> Betalt for lidt </v>
      </c>
      <c r="X35" s="119">
        <f>X33-X34</f>
        <v>-212.99157249999917</v>
      </c>
    </row>
    <row r="36" spans="2:24" ht="21.75" thickBot="1">
      <c r="B36" s="32"/>
      <c r="C36" s="165" t="str">
        <f>CONCATENATE("FAKTURERET I ",B3," AF ",Manual!$G$4," PER KVARTAL")</f>
        <v>FAKTURERET I 2022 AF Norlys Energi A/S PER KVARTAL</v>
      </c>
      <c r="D36" s="164"/>
      <c r="E36" s="164"/>
      <c r="F36" s="164"/>
      <c r="G36" s="164"/>
      <c r="H36" s="164"/>
      <c r="I36" s="164"/>
      <c r="J36" s="164"/>
      <c r="K36" s="164"/>
      <c r="L36" s="164"/>
      <c r="M36" s="164"/>
      <c r="N36" s="164"/>
      <c r="O36" s="164"/>
      <c r="P36" s="164"/>
      <c r="Q36" s="164"/>
      <c r="R36" s="164"/>
      <c r="S36" s="164"/>
      <c r="T36" s="164"/>
      <c r="U36" s="166"/>
      <c r="W36" s="117" t="s">
        <v>88</v>
      </c>
      <c r="X36" s="155">
        <f>+'2021'!X38</f>
        <v>208.36654057776286</v>
      </c>
    </row>
    <row r="37" spans="2:24" ht="19.5" thickBot="1">
      <c r="B37" s="32"/>
      <c r="C37" s="67"/>
      <c r="D37" s="68">
        <f>+F29</f>
        <v>1760.0564650000001</v>
      </c>
      <c r="E37" s="69"/>
      <c r="F37" s="70"/>
      <c r="G37" s="67"/>
      <c r="H37" s="68">
        <f>+J29</f>
        <v>2051.2343199999996</v>
      </c>
      <c r="I37" s="69"/>
      <c r="J37" s="70"/>
      <c r="K37" s="67"/>
      <c r="L37" s="68">
        <f>+N29</f>
        <v>1844.1770374999999</v>
      </c>
      <c r="M37" s="69"/>
      <c r="N37" s="70"/>
      <c r="O37" s="67"/>
      <c r="P37" s="68">
        <f>+R29</f>
        <v>3428.7037500000006</v>
      </c>
      <c r="Q37" s="69"/>
      <c r="R37" s="70"/>
      <c r="S37" s="67"/>
      <c r="T37" s="68">
        <f>D37+H37+L37+P37</f>
        <v>9084.1715724999995</v>
      </c>
      <c r="U37" s="70"/>
      <c r="W37" s="120" t="s">
        <v>86</v>
      </c>
      <c r="X37" s="121">
        <f>X35+X36</f>
        <v>-4.6250319222363032</v>
      </c>
    </row>
    <row r="38" spans="2:24">
      <c r="C38" s="109"/>
      <c r="D38" s="109"/>
      <c r="E38" s="109"/>
      <c r="F38" s="109"/>
      <c r="G38" s="109"/>
      <c r="H38" s="109"/>
      <c r="I38" s="109"/>
      <c r="J38" s="109"/>
      <c r="K38" s="109"/>
      <c r="L38" s="109"/>
      <c r="M38" s="109"/>
      <c r="N38" s="109"/>
      <c r="O38" s="109"/>
      <c r="P38" s="109"/>
      <c r="Q38" s="109"/>
      <c r="R38" s="109"/>
      <c r="S38" s="109"/>
      <c r="T38" s="109"/>
      <c r="U38" s="109"/>
      <c r="W38" s="117" t="s">
        <v>84</v>
      </c>
      <c r="X38" s="121">
        <f>+X37</f>
        <v>-4.6250319222363032</v>
      </c>
    </row>
    <row r="39" spans="2:24">
      <c r="S39" s="38"/>
      <c r="T39" s="38"/>
      <c r="U39" s="38"/>
    </row>
    <row r="40" spans="2:24">
      <c r="S40" s="38"/>
      <c r="T40" s="38"/>
      <c r="U40" s="44"/>
    </row>
    <row r="41" spans="2:24">
      <c r="S41" s="38"/>
      <c r="T41" s="38"/>
      <c r="U41" s="44"/>
    </row>
    <row r="42" spans="2:24">
      <c r="S42" s="38"/>
      <c r="T42" s="38"/>
      <c r="U42" s="44"/>
    </row>
    <row r="43" spans="2:24">
      <c r="S43" s="38"/>
      <c r="T43" s="38"/>
    </row>
    <row r="44" spans="2:24">
      <c r="S44" s="33"/>
      <c r="T44" s="33"/>
      <c r="W44" s="32"/>
    </row>
    <row r="45" spans="2:24">
      <c r="W45" s="32"/>
    </row>
    <row r="46" spans="2:24">
      <c r="W46" s="32"/>
    </row>
    <row r="47" spans="2:24">
      <c r="W47" s="32"/>
    </row>
    <row r="48" spans="2:24">
      <c r="W48" s="32"/>
    </row>
    <row r="49" spans="3:23">
      <c r="W49" s="32"/>
    </row>
    <row r="50" spans="3:23">
      <c r="W50" s="32"/>
    </row>
    <row r="51" spans="3:23">
      <c r="W51" s="32"/>
    </row>
    <row r="52" spans="3:23">
      <c r="W52" s="32"/>
    </row>
    <row r="53" spans="3:23">
      <c r="W53" s="32"/>
    </row>
    <row r="54" spans="3:23">
      <c r="W54" s="32"/>
    </row>
    <row r="62" spans="3:23" ht="21">
      <c r="C62" s="74"/>
      <c r="D62" s="74"/>
      <c r="E62" s="74"/>
      <c r="F62" s="74"/>
      <c r="G62" s="74"/>
      <c r="H62" s="74"/>
      <c r="I62" s="74"/>
      <c r="J62" s="74"/>
      <c r="K62" s="74"/>
      <c r="L62" s="74"/>
      <c r="M62" s="74"/>
      <c r="N62" s="74"/>
      <c r="O62" s="74"/>
      <c r="P62" s="74"/>
      <c r="Q62" s="74"/>
      <c r="R62" s="74"/>
      <c r="S62" s="74"/>
      <c r="T62" s="74"/>
      <c r="U62" s="74"/>
    </row>
    <row r="63" spans="3:23">
      <c r="C63" s="75"/>
      <c r="D63" s="75"/>
      <c r="E63" s="75"/>
      <c r="F63" s="75"/>
      <c r="G63" s="75"/>
      <c r="H63" s="75"/>
      <c r="I63" s="75"/>
      <c r="J63" s="75"/>
      <c r="K63" s="75"/>
      <c r="L63" s="75"/>
      <c r="M63" s="75"/>
      <c r="N63" s="75"/>
      <c r="O63" s="75"/>
      <c r="P63" s="75"/>
      <c r="Q63" s="75"/>
      <c r="R63" s="75"/>
      <c r="S63" s="75"/>
      <c r="T63" s="75"/>
      <c r="U63" s="75"/>
    </row>
    <row r="64" spans="3:23">
      <c r="C64" s="72"/>
      <c r="D64" s="73"/>
      <c r="E64" s="72"/>
      <c r="F64" s="72"/>
      <c r="G64" s="72"/>
      <c r="H64" s="73"/>
      <c r="I64" s="72"/>
      <c r="J64" s="72"/>
      <c r="K64" s="72"/>
      <c r="L64" s="73"/>
      <c r="M64" s="72"/>
      <c r="N64" s="72"/>
      <c r="O64" s="72"/>
      <c r="P64" s="73"/>
      <c r="Q64" s="72"/>
      <c r="R64" s="72"/>
      <c r="S64" s="72"/>
      <c r="T64" s="73"/>
      <c r="U64" s="72"/>
    </row>
  </sheetData>
  <sheetProtection password="D5AA" sheet="1" objects="1" scenarios="1"/>
  <mergeCells count="145">
    <mergeCell ref="W9:AD9"/>
    <mergeCell ref="B1:U2"/>
    <mergeCell ref="C34:F34"/>
    <mergeCell ref="G34:J34"/>
    <mergeCell ref="K34:N34"/>
    <mergeCell ref="O34:R34"/>
    <mergeCell ref="S34:U34"/>
    <mergeCell ref="C33:U33"/>
    <mergeCell ref="E3:F3"/>
    <mergeCell ref="I3:J3"/>
    <mergeCell ref="M3:N3"/>
    <mergeCell ref="Q3:R3"/>
    <mergeCell ref="E5:F5"/>
    <mergeCell ref="I5:J5"/>
    <mergeCell ref="M5:N5"/>
    <mergeCell ref="Q5:R5"/>
    <mergeCell ref="E4:F4"/>
    <mergeCell ref="Q4:R4"/>
    <mergeCell ref="I4:J4"/>
    <mergeCell ref="W6:AD6"/>
    <mergeCell ref="Y11:Z11"/>
    <mergeCell ref="Y12:Z12"/>
    <mergeCell ref="M4:N4"/>
    <mergeCell ref="E6:F6"/>
    <mergeCell ref="I6:J6"/>
    <mergeCell ref="M6:N6"/>
    <mergeCell ref="Q6:R6"/>
    <mergeCell ref="S6:T6"/>
    <mergeCell ref="E7:F7"/>
    <mergeCell ref="I7:J7"/>
    <mergeCell ref="M7:N7"/>
    <mergeCell ref="Q7:R7"/>
    <mergeCell ref="S7:T7"/>
    <mergeCell ref="E8:F8"/>
    <mergeCell ref="I8:J8"/>
    <mergeCell ref="M8:N8"/>
    <mergeCell ref="Q8:R8"/>
    <mergeCell ref="T8:U8"/>
    <mergeCell ref="C11:F11"/>
    <mergeCell ref="G11:J11"/>
    <mergeCell ref="K11:N11"/>
    <mergeCell ref="O11:R11"/>
    <mergeCell ref="S11:U11"/>
    <mergeCell ref="D9:F9"/>
    <mergeCell ref="H9:J9"/>
    <mergeCell ref="L9:N9"/>
    <mergeCell ref="P9:R9"/>
    <mergeCell ref="T9:U9"/>
    <mergeCell ref="C12:D12"/>
    <mergeCell ref="G12:H12"/>
    <mergeCell ref="K12:L12"/>
    <mergeCell ref="O12:P12"/>
    <mergeCell ref="S12:T12"/>
    <mergeCell ref="C13:D13"/>
    <mergeCell ref="G13:H13"/>
    <mergeCell ref="K13:L13"/>
    <mergeCell ref="O13:P13"/>
    <mergeCell ref="S13:T13"/>
    <mergeCell ref="C14:D14"/>
    <mergeCell ref="G14:H14"/>
    <mergeCell ref="K14:L14"/>
    <mergeCell ref="O14:P14"/>
    <mergeCell ref="S14:T14"/>
    <mergeCell ref="C15:F15"/>
    <mergeCell ref="G15:J15"/>
    <mergeCell ref="K15:N15"/>
    <mergeCell ref="O15:R15"/>
    <mergeCell ref="S15:U15"/>
    <mergeCell ref="C16:D16"/>
    <mergeCell ref="G16:H16"/>
    <mergeCell ref="K16:L16"/>
    <mergeCell ref="O16:P16"/>
    <mergeCell ref="S16:T16"/>
    <mergeCell ref="C17:D17"/>
    <mergeCell ref="G17:H17"/>
    <mergeCell ref="K17:L17"/>
    <mergeCell ref="O17:P17"/>
    <mergeCell ref="S17:T17"/>
    <mergeCell ref="C18:D18"/>
    <mergeCell ref="G18:H18"/>
    <mergeCell ref="K18:L18"/>
    <mergeCell ref="O18:P18"/>
    <mergeCell ref="S18:T18"/>
    <mergeCell ref="C19:D19"/>
    <mergeCell ref="G19:H19"/>
    <mergeCell ref="K19:L19"/>
    <mergeCell ref="O19:P19"/>
    <mergeCell ref="S19:T19"/>
    <mergeCell ref="C20:D20"/>
    <mergeCell ref="G20:H20"/>
    <mergeCell ref="K20:L20"/>
    <mergeCell ref="O20:P20"/>
    <mergeCell ref="S20:T20"/>
    <mergeCell ref="C21:F21"/>
    <mergeCell ref="G21:J21"/>
    <mergeCell ref="K21:N21"/>
    <mergeCell ref="O21:R21"/>
    <mergeCell ref="S21:U21"/>
    <mergeCell ref="C22:D22"/>
    <mergeCell ref="G22:H22"/>
    <mergeCell ref="K22:L22"/>
    <mergeCell ref="O22:P22"/>
    <mergeCell ref="S22:T22"/>
    <mergeCell ref="O26:P26"/>
    <mergeCell ref="S26:T26"/>
    <mergeCell ref="C27:D27"/>
    <mergeCell ref="G27:H27"/>
    <mergeCell ref="C23:D23"/>
    <mergeCell ref="G23:H23"/>
    <mergeCell ref="K23:L23"/>
    <mergeCell ref="O23:P23"/>
    <mergeCell ref="S23:T23"/>
    <mergeCell ref="K27:L27"/>
    <mergeCell ref="O27:P27"/>
    <mergeCell ref="S27:T27"/>
    <mergeCell ref="C24:D24"/>
    <mergeCell ref="G24:H24"/>
    <mergeCell ref="K24:L24"/>
    <mergeCell ref="O24:P24"/>
    <mergeCell ref="S24:T24"/>
    <mergeCell ref="C25:F25"/>
    <mergeCell ref="G25:J25"/>
    <mergeCell ref="C36:U36"/>
    <mergeCell ref="K25:N25"/>
    <mergeCell ref="O25:R25"/>
    <mergeCell ref="S25:U25"/>
    <mergeCell ref="C30:U30"/>
    <mergeCell ref="C31:E31"/>
    <mergeCell ref="G31:I31"/>
    <mergeCell ref="K31:M31"/>
    <mergeCell ref="O31:Q31"/>
    <mergeCell ref="S31:T31"/>
    <mergeCell ref="C28:D28"/>
    <mergeCell ref="G28:H28"/>
    <mergeCell ref="K28:L28"/>
    <mergeCell ref="O28:P28"/>
    <mergeCell ref="S28:T28"/>
    <mergeCell ref="C29:E29"/>
    <mergeCell ref="G29:I29"/>
    <mergeCell ref="K29:M29"/>
    <mergeCell ref="O29:Q29"/>
    <mergeCell ref="S29:T29"/>
    <mergeCell ref="C26:D26"/>
    <mergeCell ref="G26:H26"/>
    <mergeCell ref="K26:L26"/>
  </mergeCells>
  <printOptions horizontalCentered="1" verticalCentered="1"/>
  <pageMargins left="0.51181102362204722" right="0" top="0" bottom="0" header="0" footer="0.31496062992125984"/>
  <pageSetup paperSize="9" scale="41" orientation="landscape" r:id="rId1"/>
  <headerFooter>
    <oddFooter>Side &amp;P&amp;R&amp;F</oddFooter>
  </headerFooter>
  <ignoredErrors>
    <ignoredError sqref="X36 E18 I18 M18 Q18" unlockedFormula="1"/>
  </ignoredErrors>
  <drawing r:id="rId2"/>
</worksheet>
</file>

<file path=xl/worksheets/sheet4.xml><?xml version="1.0" encoding="utf-8"?>
<worksheet xmlns="http://schemas.openxmlformats.org/spreadsheetml/2006/main" xmlns:r="http://schemas.openxmlformats.org/officeDocument/2006/relationships">
  <sheetPr>
    <pageSetUpPr fitToPage="1"/>
  </sheetPr>
  <dimension ref="B1:AD64"/>
  <sheetViews>
    <sheetView zoomScale="80" zoomScaleNormal="80" workbookViewId="0"/>
  </sheetViews>
  <sheetFormatPr defaultRowHeight="18.75"/>
  <cols>
    <col min="1" max="1" width="2.7109375" style="1" customWidth="1"/>
    <col min="2" max="2" width="23.140625" style="1" customWidth="1"/>
    <col min="3" max="4" width="15.7109375" style="1" customWidth="1"/>
    <col min="5" max="5" width="17" style="1" customWidth="1"/>
    <col min="6" max="6" width="16.28515625" style="1" customWidth="1"/>
    <col min="7" max="8" width="15.7109375" style="1" customWidth="1"/>
    <col min="9" max="9" width="17.140625" style="1" customWidth="1"/>
    <col min="10" max="10" width="16.28515625" style="1" customWidth="1"/>
    <col min="11" max="12" width="15.7109375" style="1" customWidth="1"/>
    <col min="13" max="13" width="17.140625" style="1" customWidth="1"/>
    <col min="14" max="14" width="16.28515625" style="1" customWidth="1"/>
    <col min="15" max="16" width="15.7109375" style="1" customWidth="1"/>
    <col min="17" max="17" width="17.140625" style="1" customWidth="1"/>
    <col min="18" max="18" width="16.28515625" style="1" customWidth="1"/>
    <col min="19" max="20" width="14.7109375" style="1" customWidth="1"/>
    <col min="21" max="21" width="17.7109375" style="1" bestFit="1" customWidth="1"/>
    <col min="22" max="22" width="3.7109375" style="1" customWidth="1"/>
    <col min="23" max="23" width="50.85546875" style="1" customWidth="1"/>
    <col min="24" max="24" width="15" style="1" bestFit="1" customWidth="1"/>
    <col min="25" max="26" width="15.7109375" style="1" customWidth="1"/>
    <col min="27" max="27" width="9.85546875" style="1" bestFit="1" customWidth="1"/>
    <col min="28" max="29" width="15.7109375" style="1" customWidth="1"/>
    <col min="30" max="30" width="24.7109375" style="1" bestFit="1" customWidth="1"/>
    <col min="31" max="16384" width="9.140625" style="1"/>
  </cols>
  <sheetData>
    <row r="1" spans="2:30" ht="18.75" customHeight="1">
      <c r="B1" s="210" t="str">
        <f>CONCATENATE("EL forbrug i ",Manual!G2," fra den ",W2,X2)</f>
        <v>EL forbrug i Storegade 6, 2. sal, th. fra den 1. januar til den 31. december 2023</v>
      </c>
      <c r="C1" s="211"/>
      <c r="D1" s="211"/>
      <c r="E1" s="211"/>
      <c r="F1" s="211"/>
      <c r="G1" s="211"/>
      <c r="H1" s="211"/>
      <c r="I1" s="211"/>
      <c r="J1" s="211"/>
      <c r="K1" s="211"/>
      <c r="L1" s="211"/>
      <c r="M1" s="211"/>
      <c r="N1" s="211"/>
      <c r="O1" s="211"/>
      <c r="P1" s="211"/>
      <c r="Q1" s="211"/>
      <c r="R1" s="211"/>
      <c r="S1" s="211"/>
      <c r="T1" s="211"/>
      <c r="U1" s="212"/>
    </row>
    <row r="2" spans="2:30" ht="27" customHeight="1" thickBot="1">
      <c r="B2" s="213"/>
      <c r="C2" s="214"/>
      <c r="D2" s="214"/>
      <c r="E2" s="214"/>
      <c r="F2" s="214"/>
      <c r="G2" s="214"/>
      <c r="H2" s="214"/>
      <c r="I2" s="214"/>
      <c r="J2" s="214"/>
      <c r="K2" s="214"/>
      <c r="L2" s="214"/>
      <c r="M2" s="214"/>
      <c r="N2" s="214"/>
      <c r="O2" s="214"/>
      <c r="P2" s="214"/>
      <c r="Q2" s="214"/>
      <c r="R2" s="214"/>
      <c r="S2" s="214"/>
      <c r="T2" s="214"/>
      <c r="U2" s="215"/>
      <c r="W2" s="90" t="s">
        <v>68</v>
      </c>
      <c r="X2" s="34">
        <f>+B3</f>
        <v>2023</v>
      </c>
    </row>
    <row r="3" spans="2:30">
      <c r="B3" s="142">
        <f>'2021'!$B$3+2</f>
        <v>2023</v>
      </c>
      <c r="C3" s="77" t="s">
        <v>0</v>
      </c>
      <c r="D3" s="78" t="s">
        <v>1</v>
      </c>
      <c r="E3" s="168" t="s">
        <v>2</v>
      </c>
      <c r="F3" s="169"/>
      <c r="G3" s="5" t="s">
        <v>3</v>
      </c>
      <c r="H3" s="78" t="s">
        <v>4</v>
      </c>
      <c r="I3" s="168" t="s">
        <v>5</v>
      </c>
      <c r="J3" s="169"/>
      <c r="K3" s="77" t="s">
        <v>6</v>
      </c>
      <c r="L3" s="78" t="s">
        <v>7</v>
      </c>
      <c r="M3" s="223" t="s">
        <v>8</v>
      </c>
      <c r="N3" s="224"/>
      <c r="O3" s="5" t="s">
        <v>9</v>
      </c>
      <c r="P3" s="78" t="s">
        <v>10</v>
      </c>
      <c r="Q3" s="223" t="s">
        <v>11</v>
      </c>
      <c r="R3" s="225"/>
      <c r="S3" s="77" t="s">
        <v>12</v>
      </c>
      <c r="T3" s="78" t="s">
        <v>13</v>
      </c>
      <c r="U3" s="79" t="s">
        <v>55</v>
      </c>
    </row>
    <row r="4" spans="2:30">
      <c r="B4" s="53" t="s">
        <v>63</v>
      </c>
      <c r="C4" s="55">
        <f>C5*$F$31</f>
        <v>642.97340141620816</v>
      </c>
      <c r="D4" s="56">
        <f t="shared" ref="D4:E4" si="0">D5*$F$31</f>
        <v>529.55695528207627</v>
      </c>
      <c r="E4" s="180">
        <f t="shared" si="0"/>
        <v>587.52610830171545</v>
      </c>
      <c r="F4" s="181"/>
      <c r="G4" s="58">
        <f>G5*$J$31</f>
        <v>636.65498358591447</v>
      </c>
      <c r="H4" s="58">
        <f t="shared" ref="H4:I4" si="1">H5*$J$31</f>
        <v>706.80863657655277</v>
      </c>
      <c r="I4" s="182">
        <f t="shared" si="1"/>
        <v>707.77069983753245</v>
      </c>
      <c r="J4" s="181"/>
      <c r="K4" s="57">
        <f>K5*$N$31</f>
        <v>674.9889915392414</v>
      </c>
      <c r="L4" s="58">
        <f t="shared" ref="L4:M4" si="2">L5*$N$31</f>
        <v>596.03831771724799</v>
      </c>
      <c r="M4" s="182">
        <f t="shared" si="2"/>
        <v>573.14972824351037</v>
      </c>
      <c r="N4" s="181"/>
      <c r="O4" s="59">
        <f>O5*$R$31</f>
        <v>780.72950664136636</v>
      </c>
      <c r="P4" s="56">
        <f t="shared" ref="P4:Q4" si="3">P5*$R$31</f>
        <v>1301.2158444022771</v>
      </c>
      <c r="Q4" s="180">
        <f t="shared" si="3"/>
        <v>1346.7583989563568</v>
      </c>
      <c r="R4" s="180"/>
      <c r="S4" s="62">
        <f>S5*$U$31</f>
        <v>524.95248833412779</v>
      </c>
      <c r="T4" s="56">
        <f t="shared" ref="T4:U4" si="4">T5*$U$31</f>
        <v>905.54304237637052</v>
      </c>
      <c r="U4" s="39">
        <f t="shared" si="4"/>
        <v>715.24776535524916</v>
      </c>
    </row>
    <row r="5" spans="2:30" s="109" customFormat="1" ht="19.5" thickBot="1">
      <c r="B5" s="54" t="s">
        <v>14</v>
      </c>
      <c r="C5" s="125">
        <v>191.22</v>
      </c>
      <c r="D5" s="143">
        <v>157.49</v>
      </c>
      <c r="E5" s="192">
        <v>174.73</v>
      </c>
      <c r="F5" s="197"/>
      <c r="G5" s="128">
        <v>165.44</v>
      </c>
      <c r="H5" s="127">
        <v>183.67</v>
      </c>
      <c r="I5" s="202">
        <v>183.92</v>
      </c>
      <c r="J5" s="203"/>
      <c r="K5" s="125">
        <v>180.48</v>
      </c>
      <c r="L5" s="143">
        <v>159.37</v>
      </c>
      <c r="M5" s="192">
        <v>153.25</v>
      </c>
      <c r="N5" s="197"/>
      <c r="O5" s="128">
        <v>120</v>
      </c>
      <c r="P5" s="144">
        <v>200</v>
      </c>
      <c r="Q5" s="226">
        <v>207</v>
      </c>
      <c r="R5" s="227"/>
      <c r="S5" s="30">
        <f>MIN(C5:Q5)</f>
        <v>120</v>
      </c>
      <c r="T5" s="31">
        <f>MAX(C5:Q5)</f>
        <v>207</v>
      </c>
      <c r="U5" s="12">
        <f>AVERAGE(S5:T5)</f>
        <v>163.5</v>
      </c>
    </row>
    <row r="6" spans="2:30">
      <c r="B6" s="35" t="s">
        <v>61</v>
      </c>
      <c r="C6" s="95">
        <f>C5+D5+E5</f>
        <v>523.44000000000005</v>
      </c>
      <c r="D6" s="85" t="s">
        <v>21</v>
      </c>
      <c r="E6" s="185" t="s">
        <v>42</v>
      </c>
      <c r="F6" s="186"/>
      <c r="G6" s="21">
        <f>G5+H5+I5</f>
        <v>533.03</v>
      </c>
      <c r="H6" s="85" t="s">
        <v>21</v>
      </c>
      <c r="I6" s="195" t="s">
        <v>42</v>
      </c>
      <c r="J6" s="198"/>
      <c r="K6" s="22">
        <f>K5+L5+M5</f>
        <v>493.1</v>
      </c>
      <c r="L6" s="85" t="s">
        <v>21</v>
      </c>
      <c r="M6" s="194" t="s">
        <v>42</v>
      </c>
      <c r="N6" s="198"/>
      <c r="O6" s="21">
        <f>O5+P5+Q5</f>
        <v>527</v>
      </c>
      <c r="P6" s="85" t="s">
        <v>21</v>
      </c>
      <c r="Q6" s="194" t="s">
        <v>42</v>
      </c>
      <c r="R6" s="194"/>
      <c r="S6" s="204" t="s">
        <v>42</v>
      </c>
      <c r="T6" s="205"/>
      <c r="U6" s="29">
        <f>C6+G6+K6+O6</f>
        <v>2076.5700000000002</v>
      </c>
      <c r="W6" s="209" t="s">
        <v>73</v>
      </c>
      <c r="X6" s="209"/>
      <c r="Y6" s="209"/>
      <c r="Z6" s="209"/>
      <c r="AA6" s="209"/>
      <c r="AB6" s="209"/>
      <c r="AC6" s="209"/>
      <c r="AD6" s="209"/>
    </row>
    <row r="7" spans="2:30">
      <c r="B7" s="35" t="s">
        <v>59</v>
      </c>
      <c r="C7" s="129">
        <v>561</v>
      </c>
      <c r="D7" s="85" t="s">
        <v>21</v>
      </c>
      <c r="E7" s="185" t="s">
        <v>41</v>
      </c>
      <c r="F7" s="186"/>
      <c r="G7" s="145">
        <v>567</v>
      </c>
      <c r="H7" s="85" t="s">
        <v>21</v>
      </c>
      <c r="I7" s="185" t="s">
        <v>41</v>
      </c>
      <c r="J7" s="186"/>
      <c r="K7" s="129">
        <v>574</v>
      </c>
      <c r="L7" s="85" t="s">
        <v>21</v>
      </c>
      <c r="M7" s="185" t="s">
        <v>41</v>
      </c>
      <c r="N7" s="186"/>
      <c r="O7" s="130">
        <v>527</v>
      </c>
      <c r="P7" s="85" t="s">
        <v>21</v>
      </c>
      <c r="Q7" s="185" t="s">
        <v>41</v>
      </c>
      <c r="R7" s="195"/>
      <c r="S7" s="199" t="s">
        <v>41</v>
      </c>
      <c r="T7" s="185"/>
      <c r="U7" s="84">
        <f>C7+G7+K7+O7</f>
        <v>2229</v>
      </c>
      <c r="W7" s="2" t="s">
        <v>89</v>
      </c>
    </row>
    <row r="8" spans="2:30" ht="19.5" thickBot="1">
      <c r="B8" s="35" t="s">
        <v>57</v>
      </c>
      <c r="C8" s="102">
        <f>+ROUND(B12,0)</f>
        <v>38</v>
      </c>
      <c r="D8" s="82" t="s">
        <v>48</v>
      </c>
      <c r="E8" s="221" t="str">
        <f>CONCATENATE(C8,D8,B13,"a'conto")</f>
        <v>38 kWh for meget a'conto</v>
      </c>
      <c r="F8" s="222"/>
      <c r="G8" s="103">
        <f>+ROUND(B16,0)</f>
        <v>34</v>
      </c>
      <c r="H8" s="82" t="s">
        <v>48</v>
      </c>
      <c r="I8" s="221" t="str">
        <f>CONCATENATE(G8,H8,B17,"a'conto")</f>
        <v>34 kWh for meget a'conto</v>
      </c>
      <c r="J8" s="222"/>
      <c r="K8" s="102">
        <f>+ROUND(B20,0)</f>
        <v>81</v>
      </c>
      <c r="L8" s="82" t="s">
        <v>48</v>
      </c>
      <c r="M8" s="221" t="str">
        <f>CONCATENATE(K8,L8,B21,"a'conto")</f>
        <v>81 kWh for meget a'conto</v>
      </c>
      <c r="N8" s="222"/>
      <c r="O8" s="104">
        <f>+ROUND(B24,0)</f>
        <v>0</v>
      </c>
      <c r="P8" s="82" t="s">
        <v>48</v>
      </c>
      <c r="Q8" s="221" t="str">
        <f>CONCATENATE(O8,P8,B25,"a'conto")</f>
        <v>0 kWh for meget a'conto</v>
      </c>
      <c r="R8" s="187"/>
      <c r="S8" s="102">
        <f>+ROUND(B28,0)</f>
        <v>152</v>
      </c>
      <c r="T8" s="221" t="str">
        <f>CONCATENATE(S8,P8,B29,"a'conto")</f>
        <v>152 kWh for meget a'conto</v>
      </c>
      <c r="U8" s="222"/>
      <c r="W8" s="81" t="s">
        <v>43</v>
      </c>
      <c r="X8" s="140">
        <v>1600</v>
      </c>
      <c r="Y8" s="109" t="s">
        <v>44</v>
      </c>
      <c r="Z8" s="109" t="s">
        <v>45</v>
      </c>
      <c r="AA8" s="141">
        <v>2.4</v>
      </c>
      <c r="AB8" s="109" t="s">
        <v>46</v>
      </c>
      <c r="AC8" s="110">
        <f>X8*AA8</f>
        <v>3840</v>
      </c>
      <c r="AD8" s="81" t="s">
        <v>47</v>
      </c>
    </row>
    <row r="9" spans="2:30" ht="19.5" thickBot="1">
      <c r="B9" s="36" t="s">
        <v>60</v>
      </c>
      <c r="C9" s="37">
        <f>C8*F31</f>
        <v>127.77423519410056</v>
      </c>
      <c r="D9" s="187" t="str">
        <f>IF(C8&gt;=0," Betalt for meget, sænk skønnet forbrug "," Betalt for lidt, hæv skønnet forbrug ")</f>
        <v xml:space="preserve"> Betalt for meget, sænk skønnet forbrug </v>
      </c>
      <c r="E9" s="188"/>
      <c r="F9" s="189"/>
      <c r="G9" s="37">
        <f>G8*J31</f>
        <v>130.84060349323676</v>
      </c>
      <c r="H9" s="187" t="str">
        <f>IF(G8&gt;=0," Betalt for meget, sænk skønnet forbrug "," Betalt for lidt, hæv skønnet forbrug ")</f>
        <v xml:space="preserve"> Betalt for meget, sænk skønnet forbrug </v>
      </c>
      <c r="I9" s="188"/>
      <c r="J9" s="189"/>
      <c r="K9" s="37">
        <f>K8*N31</f>
        <v>302.93721362299732</v>
      </c>
      <c r="L9" s="187" t="str">
        <f>IF(K8&gt;=0," Betalt for meget, sænk skønnet forbrug "," Betalt for lidt, hæv skønnet forbrug ")</f>
        <v xml:space="preserve"> Betalt for meget, sænk skønnet forbrug </v>
      </c>
      <c r="M9" s="188"/>
      <c r="N9" s="189"/>
      <c r="O9" s="37">
        <f>O8*R31</f>
        <v>0</v>
      </c>
      <c r="P9" s="187" t="str">
        <f>IF(O8&gt;=0," Betalt for meget, sænk skønnet forbrug "," Betalt for lidt, hæv skønnet forbrug ")</f>
        <v xml:space="preserve"> Betalt for meget, sænk skønnet forbrug </v>
      </c>
      <c r="Q9" s="188"/>
      <c r="R9" s="189"/>
      <c r="S9" s="37">
        <f>C9+G9+K9+O9</f>
        <v>561.5520523103346</v>
      </c>
      <c r="T9" s="188" t="str">
        <f>IF(S8&gt;=0," Betalt for meget i 2022 "," Betalt for lidt i 2022 ")</f>
        <v xml:space="preserve"> Betalt for meget i 2022 </v>
      </c>
      <c r="U9" s="189"/>
      <c r="W9" s="220" t="s">
        <v>93</v>
      </c>
      <c r="X9" s="220"/>
      <c r="Y9" s="220"/>
      <c r="Z9" s="220"/>
      <c r="AA9" s="220"/>
      <c r="AB9" s="220"/>
      <c r="AC9" s="220"/>
      <c r="AD9" s="220"/>
    </row>
    <row r="10" spans="2:30" ht="19.5" thickBot="1">
      <c r="W10" s="139">
        <v>2</v>
      </c>
      <c r="X10" s="13">
        <f>U6</f>
        <v>2076.5700000000002</v>
      </c>
      <c r="Y10" s="109" t="s">
        <v>44</v>
      </c>
      <c r="Z10" s="109" t="s">
        <v>45</v>
      </c>
      <c r="AA10" s="50">
        <f>U31</f>
        <v>4.3746040694510651</v>
      </c>
      <c r="AB10" s="109" t="s">
        <v>46</v>
      </c>
      <c r="AC10" s="110">
        <f>X10*AA10</f>
        <v>9084.1715724999995</v>
      </c>
      <c r="AD10" s="81"/>
    </row>
    <row r="11" spans="2:30" ht="19.5" thickBot="1">
      <c r="B11" s="8" t="s">
        <v>49</v>
      </c>
      <c r="C11" s="172" t="s">
        <v>34</v>
      </c>
      <c r="D11" s="173"/>
      <c r="E11" s="173"/>
      <c r="F11" s="177"/>
      <c r="G11" s="172" t="s">
        <v>32</v>
      </c>
      <c r="H11" s="173"/>
      <c r="I11" s="173"/>
      <c r="J11" s="177"/>
      <c r="K11" s="172" t="s">
        <v>35</v>
      </c>
      <c r="L11" s="173"/>
      <c r="M11" s="173"/>
      <c r="N11" s="177"/>
      <c r="O11" s="172" t="s">
        <v>36</v>
      </c>
      <c r="P11" s="173"/>
      <c r="Q11" s="173"/>
      <c r="R11" s="177"/>
      <c r="S11" s="172" t="s">
        <v>33</v>
      </c>
      <c r="T11" s="173"/>
      <c r="U11" s="177"/>
      <c r="W11" s="108" t="s">
        <v>62</v>
      </c>
      <c r="X11" s="109">
        <f>+W10</f>
        <v>2</v>
      </c>
      <c r="Y11" s="208" t="s">
        <v>70</v>
      </c>
      <c r="Z11" s="208"/>
      <c r="AA11" s="13">
        <f>+X10</f>
        <v>2076.5700000000002</v>
      </c>
      <c r="AB11" s="109" t="s">
        <v>44</v>
      </c>
      <c r="AC11" s="111">
        <f>+AC10</f>
        <v>9084.1715724999995</v>
      </c>
      <c r="AD11" s="1" t="s">
        <v>71</v>
      </c>
    </row>
    <row r="12" spans="2:30">
      <c r="B12" s="76">
        <f>ROUND(C7-C6,0)</f>
        <v>38</v>
      </c>
      <c r="C12" s="178" t="s">
        <v>15</v>
      </c>
      <c r="D12" s="179"/>
      <c r="E12" s="146">
        <v>1.337</v>
      </c>
      <c r="F12" s="7"/>
      <c r="G12" s="178" t="s">
        <v>15</v>
      </c>
      <c r="H12" s="179"/>
      <c r="I12" s="146">
        <v>1.7558</v>
      </c>
      <c r="J12" s="7"/>
      <c r="K12" s="178" t="s">
        <v>15</v>
      </c>
      <c r="L12" s="179"/>
      <c r="M12" s="146">
        <v>1.7223999999999999</v>
      </c>
      <c r="N12" s="7"/>
      <c r="O12" s="178" t="s">
        <v>15</v>
      </c>
      <c r="P12" s="179"/>
      <c r="Q12" s="146">
        <v>3.9573</v>
      </c>
      <c r="R12" s="7"/>
      <c r="S12" s="206" t="s">
        <v>54</v>
      </c>
      <c r="T12" s="207"/>
      <c r="U12" s="23">
        <f>U14/U13</f>
        <v>2.2010073794767329</v>
      </c>
      <c r="X12" s="109">
        <v>1</v>
      </c>
      <c r="Y12" s="208" t="s">
        <v>72</v>
      </c>
      <c r="Z12" s="208"/>
      <c r="AA12" s="13">
        <f>AA11/X11</f>
        <v>1038.2850000000001</v>
      </c>
      <c r="AB12" s="109" t="s">
        <v>44</v>
      </c>
      <c r="AC12" s="111">
        <f>AC11/X11</f>
        <v>4542.0857862499997</v>
      </c>
      <c r="AD12" s="1" t="s">
        <v>71</v>
      </c>
    </row>
    <row r="13" spans="2:30" ht="19.5" thickBot="1">
      <c r="B13" s="14" t="str">
        <f>IF(C8&gt;=0," for meget "," for lidt ")</f>
        <v xml:space="preserve"> for meget </v>
      </c>
      <c r="C13" s="170" t="s">
        <v>37</v>
      </c>
      <c r="D13" s="171"/>
      <c r="E13" s="109" t="s">
        <v>21</v>
      </c>
      <c r="F13" s="83">
        <f>+C6</f>
        <v>523.44000000000005</v>
      </c>
      <c r="G13" s="170" t="s">
        <v>20</v>
      </c>
      <c r="H13" s="171"/>
      <c r="I13" s="109" t="s">
        <v>21</v>
      </c>
      <c r="J13" s="83">
        <f>G6</f>
        <v>533.03</v>
      </c>
      <c r="K13" s="170" t="s">
        <v>38</v>
      </c>
      <c r="L13" s="171"/>
      <c r="M13" s="109" t="s">
        <v>21</v>
      </c>
      <c r="N13" s="83">
        <f>K6</f>
        <v>493.1</v>
      </c>
      <c r="O13" s="170" t="s">
        <v>39</v>
      </c>
      <c r="P13" s="171"/>
      <c r="Q13" s="109" t="s">
        <v>21</v>
      </c>
      <c r="R13" s="83">
        <f>O6</f>
        <v>527</v>
      </c>
      <c r="S13" s="170" t="s">
        <v>53</v>
      </c>
      <c r="T13" s="171"/>
      <c r="U13" s="84">
        <f>F13+J13+N13+R13</f>
        <v>2076.5700000000002</v>
      </c>
      <c r="W13" s="114" t="s">
        <v>75</v>
      </c>
      <c r="X13" s="112"/>
      <c r="Y13" s="112"/>
      <c r="Z13" s="113"/>
      <c r="AA13" s="113"/>
      <c r="AB13" s="116" t="str">
        <f>IF(AC13&gt;=0," mere ","mindre ")</f>
        <v xml:space="preserve"> mere </v>
      </c>
      <c r="AC13" s="115">
        <f>AC12-AC8</f>
        <v>702.08578624999973</v>
      </c>
      <c r="AD13" s="113" t="s">
        <v>71</v>
      </c>
    </row>
    <row r="14" spans="2:30" ht="19.5" thickBot="1">
      <c r="C14" s="175" t="s">
        <v>69</v>
      </c>
      <c r="D14" s="176"/>
      <c r="E14" s="9"/>
      <c r="F14" s="45">
        <f>E12*F13</f>
        <v>699.83928000000003</v>
      </c>
      <c r="G14" s="175" t="s">
        <v>69</v>
      </c>
      <c r="H14" s="176"/>
      <c r="I14" s="9"/>
      <c r="J14" s="45">
        <f>I12*J13</f>
        <v>935.89407399999993</v>
      </c>
      <c r="K14" s="175" t="s">
        <v>69</v>
      </c>
      <c r="L14" s="176"/>
      <c r="M14" s="9"/>
      <c r="N14" s="45">
        <f>M12*N13</f>
        <v>849.31543999999997</v>
      </c>
      <c r="O14" s="175" t="s">
        <v>69</v>
      </c>
      <c r="P14" s="176"/>
      <c r="Q14" s="9"/>
      <c r="R14" s="45">
        <f>Q12*R13</f>
        <v>2085.4971</v>
      </c>
      <c r="S14" s="175" t="s">
        <v>69</v>
      </c>
      <c r="T14" s="176"/>
      <c r="U14" s="46">
        <f>F14+J14+N14+R14</f>
        <v>4570.5458939999999</v>
      </c>
      <c r="W14" s="63"/>
      <c r="X14" s="63"/>
      <c r="Y14" s="63"/>
      <c r="Z14" s="63"/>
      <c r="AA14" s="63"/>
      <c r="AB14" s="63"/>
      <c r="AC14" s="63"/>
      <c r="AD14" s="63"/>
    </row>
    <row r="15" spans="2:30" ht="19.5" thickBot="1">
      <c r="B15" s="8" t="s">
        <v>50</v>
      </c>
      <c r="C15" s="172" t="s">
        <v>22</v>
      </c>
      <c r="D15" s="173"/>
      <c r="E15" s="173"/>
      <c r="F15" s="177"/>
      <c r="G15" s="172" t="s">
        <v>22</v>
      </c>
      <c r="H15" s="173"/>
      <c r="I15" s="173"/>
      <c r="J15" s="177"/>
      <c r="K15" s="172" t="s">
        <v>22</v>
      </c>
      <c r="L15" s="173"/>
      <c r="M15" s="173"/>
      <c r="N15" s="177"/>
      <c r="O15" s="172" t="s">
        <v>22</v>
      </c>
      <c r="P15" s="173"/>
      <c r="Q15" s="173"/>
      <c r="R15" s="177"/>
      <c r="S15" s="172" t="s">
        <v>22</v>
      </c>
      <c r="T15" s="173"/>
      <c r="U15" s="177"/>
    </row>
    <row r="16" spans="2:30">
      <c r="B16" s="76">
        <f>+ROUND(G7-G6,0)</f>
        <v>34</v>
      </c>
      <c r="C16" s="178" t="s">
        <v>31</v>
      </c>
      <c r="D16" s="179"/>
      <c r="E16" s="6"/>
      <c r="F16" s="132">
        <v>69.599999999999994</v>
      </c>
      <c r="G16" s="178" t="s">
        <v>31</v>
      </c>
      <c r="H16" s="179"/>
      <c r="I16" s="6"/>
      <c r="J16" s="132">
        <v>69.599999999999994</v>
      </c>
      <c r="K16" s="178" t="s">
        <v>31</v>
      </c>
      <c r="L16" s="179"/>
      <c r="M16" s="6"/>
      <c r="N16" s="132">
        <v>69.599999999999994</v>
      </c>
      <c r="O16" s="178" t="s">
        <v>31</v>
      </c>
      <c r="P16" s="179"/>
      <c r="Q16" s="6"/>
      <c r="R16" s="132">
        <v>69.599999999999994</v>
      </c>
      <c r="S16" s="178" t="s">
        <v>31</v>
      </c>
      <c r="T16" s="179"/>
      <c r="U16" s="107">
        <f t="shared" ref="U16:U20" si="5">F16+J16+N16+R16</f>
        <v>278.39999999999998</v>
      </c>
    </row>
    <row r="17" spans="2:21" ht="19.5" thickBot="1">
      <c r="B17" s="14" t="str">
        <f>IF(G8&gt;=0," for meget "," for lidt ")</f>
        <v xml:space="preserve"> for meget </v>
      </c>
      <c r="C17" s="170" t="s">
        <v>16</v>
      </c>
      <c r="D17" s="171"/>
      <c r="E17" s="147">
        <v>0.24440000000000001</v>
      </c>
      <c r="F17" s="98">
        <f>E17*F13</f>
        <v>127.92873600000001</v>
      </c>
      <c r="G17" s="170" t="s">
        <v>16</v>
      </c>
      <c r="H17" s="171"/>
      <c r="I17" s="147">
        <v>0.22800000000000001</v>
      </c>
      <c r="J17" s="98">
        <f>I17*J13</f>
        <v>121.53084</v>
      </c>
      <c r="K17" s="170" t="s">
        <v>16</v>
      </c>
      <c r="L17" s="171"/>
      <c r="M17" s="147">
        <v>0.28349999999999997</v>
      </c>
      <c r="N17" s="98">
        <f>M17*N13</f>
        <v>139.79384999999999</v>
      </c>
      <c r="O17" s="170" t="s">
        <v>16</v>
      </c>
      <c r="P17" s="171"/>
      <c r="Q17" s="147">
        <v>0.31530000000000002</v>
      </c>
      <c r="R17" s="98">
        <f>Q17*R13</f>
        <v>166.16310000000001</v>
      </c>
      <c r="S17" s="170" t="s">
        <v>16</v>
      </c>
      <c r="T17" s="171"/>
      <c r="U17" s="107">
        <f t="shared" si="5"/>
        <v>555.41652599999998</v>
      </c>
    </row>
    <row r="18" spans="2:21" ht="19.5" thickBot="1">
      <c r="C18" s="170" t="s">
        <v>17</v>
      </c>
      <c r="D18" s="171"/>
      <c r="E18" s="147">
        <f>-0.1081</f>
        <v>-0.1081</v>
      </c>
      <c r="F18" s="98">
        <f>E18*F13</f>
        <v>-56.583864000000005</v>
      </c>
      <c r="G18" s="170" t="s">
        <v>17</v>
      </c>
      <c r="H18" s="171"/>
      <c r="I18" s="147">
        <f>-0.1039</f>
        <v>-0.10390000000000001</v>
      </c>
      <c r="J18" s="98">
        <f>I18*J13</f>
        <v>-55.381816999999998</v>
      </c>
      <c r="K18" s="170" t="s">
        <v>17</v>
      </c>
      <c r="L18" s="171"/>
      <c r="M18" s="147">
        <f>-0.1039</f>
        <v>-0.10390000000000001</v>
      </c>
      <c r="N18" s="98">
        <f>M18*N13</f>
        <v>-51.233090000000004</v>
      </c>
      <c r="O18" s="170" t="s">
        <v>17</v>
      </c>
      <c r="P18" s="171"/>
      <c r="Q18" s="151">
        <f>-0.1039</f>
        <v>-0.10390000000000001</v>
      </c>
      <c r="R18" s="98">
        <f>Q18*R13</f>
        <v>-54.755300000000005</v>
      </c>
      <c r="S18" s="170" t="s">
        <v>17</v>
      </c>
      <c r="T18" s="171"/>
      <c r="U18" s="107">
        <f t="shared" si="5"/>
        <v>-217.95407100000003</v>
      </c>
    </row>
    <row r="19" spans="2:21">
      <c r="B19" s="8" t="s">
        <v>51</v>
      </c>
      <c r="C19" s="183" t="s">
        <v>18</v>
      </c>
      <c r="D19" s="184"/>
      <c r="E19" s="10"/>
      <c r="F19" s="148">
        <v>72.510000000000005</v>
      </c>
      <c r="G19" s="183" t="s">
        <v>18</v>
      </c>
      <c r="H19" s="184"/>
      <c r="I19" s="10"/>
      <c r="J19" s="148">
        <v>72.510000000000005</v>
      </c>
      <c r="K19" s="183" t="s">
        <v>18</v>
      </c>
      <c r="L19" s="184"/>
      <c r="M19" s="10"/>
      <c r="N19" s="148">
        <v>72.510000000000005</v>
      </c>
      <c r="O19" s="183" t="s">
        <v>18</v>
      </c>
      <c r="P19" s="184"/>
      <c r="Q19" s="10"/>
      <c r="R19" s="148">
        <v>72.510000000000005</v>
      </c>
      <c r="S19" s="183" t="s">
        <v>18</v>
      </c>
      <c r="T19" s="184"/>
      <c r="U19" s="107">
        <f t="shared" si="5"/>
        <v>290.04000000000002</v>
      </c>
    </row>
    <row r="20" spans="2:21" ht="19.5" thickBot="1">
      <c r="B20" s="76">
        <f>ROUND(K7-K6,0)</f>
        <v>81</v>
      </c>
      <c r="C20" s="175" t="s">
        <v>19</v>
      </c>
      <c r="D20" s="176"/>
      <c r="E20" s="135">
        <v>0.5</v>
      </c>
      <c r="F20" s="97">
        <f>-E20*F19</f>
        <v>-36.255000000000003</v>
      </c>
      <c r="G20" s="175" t="s">
        <v>19</v>
      </c>
      <c r="H20" s="176"/>
      <c r="I20" s="135">
        <v>0.5</v>
      </c>
      <c r="J20" s="97">
        <f>-I20*J19</f>
        <v>-36.255000000000003</v>
      </c>
      <c r="K20" s="175" t="s">
        <v>19</v>
      </c>
      <c r="L20" s="176"/>
      <c r="M20" s="135">
        <v>0.5</v>
      </c>
      <c r="N20" s="97">
        <f>-M20*N19</f>
        <v>-36.255000000000003</v>
      </c>
      <c r="O20" s="175" t="s">
        <v>19</v>
      </c>
      <c r="P20" s="176"/>
      <c r="Q20" s="135">
        <v>0.5</v>
      </c>
      <c r="R20" s="97">
        <f>-Q20*R19</f>
        <v>-36.255000000000003</v>
      </c>
      <c r="S20" s="175" t="s">
        <v>19</v>
      </c>
      <c r="T20" s="176"/>
      <c r="U20" s="107">
        <f t="shared" si="5"/>
        <v>-145.02000000000001</v>
      </c>
    </row>
    <row r="21" spans="2:21" ht="19.5" thickBot="1">
      <c r="B21" s="14" t="str">
        <f>IF(K8&gt;=0," for meget "," for lidt ")</f>
        <v xml:space="preserve"> for meget </v>
      </c>
      <c r="C21" s="172" t="s">
        <v>23</v>
      </c>
      <c r="D21" s="173"/>
      <c r="E21" s="173"/>
      <c r="F21" s="177"/>
      <c r="G21" s="172" t="s">
        <v>23</v>
      </c>
      <c r="H21" s="173"/>
      <c r="I21" s="173"/>
      <c r="J21" s="177"/>
      <c r="K21" s="172" t="s">
        <v>23</v>
      </c>
      <c r="L21" s="173"/>
      <c r="M21" s="173"/>
      <c r="N21" s="177"/>
      <c r="O21" s="172" t="s">
        <v>23</v>
      </c>
      <c r="P21" s="173"/>
      <c r="Q21" s="173"/>
      <c r="R21" s="177"/>
      <c r="S21" s="172" t="s">
        <v>23</v>
      </c>
      <c r="T21" s="173"/>
      <c r="U21" s="177"/>
    </row>
    <row r="22" spans="2:21" ht="19.5" thickBot="1">
      <c r="C22" s="178" t="s">
        <v>24</v>
      </c>
      <c r="D22" s="179"/>
      <c r="E22" s="149">
        <v>2.3E-3</v>
      </c>
      <c r="F22" s="99">
        <f>E22*331</f>
        <v>0.76129999999999998</v>
      </c>
      <c r="G22" s="178" t="s">
        <v>24</v>
      </c>
      <c r="H22" s="179"/>
      <c r="I22" s="149">
        <v>2.3E-3</v>
      </c>
      <c r="J22" s="105">
        <f>I22*J13</f>
        <v>1.2259689999999999</v>
      </c>
      <c r="K22" s="178" t="s">
        <v>24</v>
      </c>
      <c r="L22" s="179"/>
      <c r="M22" s="149">
        <v>2.3E-3</v>
      </c>
      <c r="N22" s="105">
        <f>M22*N13</f>
        <v>1.1341300000000001</v>
      </c>
      <c r="O22" s="178" t="s">
        <v>24</v>
      </c>
      <c r="P22" s="179"/>
      <c r="Q22" s="152">
        <v>2.3E-3</v>
      </c>
      <c r="R22" s="105">
        <f>Q22*R13</f>
        <v>1.2121</v>
      </c>
      <c r="S22" s="178" t="s">
        <v>24</v>
      </c>
      <c r="T22" s="179"/>
      <c r="U22" s="107">
        <f t="shared" ref="U22:U24" si="6">F22+J22+N22+R22</f>
        <v>4.3334989999999998</v>
      </c>
    </row>
    <row r="23" spans="2:21">
      <c r="B23" s="8" t="s">
        <v>52</v>
      </c>
      <c r="C23" s="170" t="s">
        <v>25</v>
      </c>
      <c r="D23" s="171"/>
      <c r="E23" s="147">
        <v>4.9000000000000002E-2</v>
      </c>
      <c r="F23" s="98">
        <f>E23*F13</f>
        <v>25.648560000000003</v>
      </c>
      <c r="G23" s="170" t="s">
        <v>25</v>
      </c>
      <c r="H23" s="171"/>
      <c r="I23" s="147">
        <v>4.9000000000000002E-2</v>
      </c>
      <c r="J23" s="98">
        <f>I23*J13</f>
        <v>26.118469999999999</v>
      </c>
      <c r="K23" s="170" t="s">
        <v>25</v>
      </c>
      <c r="L23" s="171"/>
      <c r="M23" s="147">
        <v>4.9000000000000002E-2</v>
      </c>
      <c r="N23" s="98">
        <f>M23*N13</f>
        <v>24.161900000000003</v>
      </c>
      <c r="O23" s="170" t="s">
        <v>25</v>
      </c>
      <c r="P23" s="171"/>
      <c r="Q23" s="151">
        <v>4.9000000000000002E-2</v>
      </c>
      <c r="R23" s="98">
        <f>Q23*R13</f>
        <v>25.823</v>
      </c>
      <c r="S23" s="170" t="s">
        <v>25</v>
      </c>
      <c r="T23" s="171"/>
      <c r="U23" s="107">
        <f t="shared" si="6"/>
        <v>101.75193000000002</v>
      </c>
    </row>
    <row r="24" spans="2:21" ht="19.5" thickBot="1">
      <c r="B24" s="76">
        <f>ROUND(O7-O6,0)</f>
        <v>0</v>
      </c>
      <c r="C24" s="175" t="s">
        <v>26</v>
      </c>
      <c r="D24" s="176"/>
      <c r="E24" s="150">
        <v>6.0999999999999999E-2</v>
      </c>
      <c r="F24" s="106">
        <f>E24*F13</f>
        <v>31.929840000000002</v>
      </c>
      <c r="G24" s="175" t="s">
        <v>26</v>
      </c>
      <c r="H24" s="176"/>
      <c r="I24" s="150">
        <v>6.0999999999999999E-2</v>
      </c>
      <c r="J24" s="106">
        <f>I24*J13</f>
        <v>32.514829999999996</v>
      </c>
      <c r="K24" s="175" t="s">
        <v>26</v>
      </c>
      <c r="L24" s="176"/>
      <c r="M24" s="150">
        <v>6.0999999999999999E-2</v>
      </c>
      <c r="N24" s="106">
        <f>M24*N13</f>
        <v>30.0791</v>
      </c>
      <c r="O24" s="175" t="s">
        <v>26</v>
      </c>
      <c r="P24" s="176"/>
      <c r="Q24" s="153">
        <v>6.0999999999999999E-2</v>
      </c>
      <c r="R24" s="106">
        <f>Q24*R13</f>
        <v>32.146999999999998</v>
      </c>
      <c r="S24" s="175" t="s">
        <v>26</v>
      </c>
      <c r="T24" s="176"/>
      <c r="U24" s="107">
        <f t="shared" si="6"/>
        <v>126.67077</v>
      </c>
    </row>
    <row r="25" spans="2:21" ht="19.5" thickBot="1">
      <c r="B25" s="14" t="str">
        <f>IF(O8&gt;=0," for meget "," for lidt ")</f>
        <v xml:space="preserve"> for meget </v>
      </c>
      <c r="C25" s="172" t="s">
        <v>27</v>
      </c>
      <c r="D25" s="173"/>
      <c r="E25" s="173"/>
      <c r="F25" s="177"/>
      <c r="G25" s="172" t="s">
        <v>27</v>
      </c>
      <c r="H25" s="173"/>
      <c r="I25" s="173"/>
      <c r="J25" s="177"/>
      <c r="K25" s="172" t="s">
        <v>27</v>
      </c>
      <c r="L25" s="173"/>
      <c r="M25" s="173"/>
      <c r="N25" s="177"/>
      <c r="O25" s="172" t="s">
        <v>27</v>
      </c>
      <c r="P25" s="173"/>
      <c r="Q25" s="173"/>
      <c r="R25" s="177"/>
      <c r="S25" s="172" t="s">
        <v>27</v>
      </c>
      <c r="T25" s="173"/>
      <c r="U25" s="177"/>
    </row>
    <row r="26" spans="2:21" ht="19.5" thickBot="1">
      <c r="C26" s="178" t="s">
        <v>28</v>
      </c>
      <c r="D26" s="179"/>
      <c r="E26" s="149">
        <v>0</v>
      </c>
      <c r="F26" s="105">
        <f>E26*F13</f>
        <v>0</v>
      </c>
      <c r="G26" s="178" t="s">
        <v>28</v>
      </c>
      <c r="H26" s="179"/>
      <c r="I26" s="149">
        <v>-4.3999999999999997E-2</v>
      </c>
      <c r="J26" s="96">
        <f>I26*184</f>
        <v>-8.0960000000000001</v>
      </c>
      <c r="K26" s="178" t="s">
        <v>28</v>
      </c>
      <c r="L26" s="179"/>
      <c r="M26" s="149">
        <v>0</v>
      </c>
      <c r="N26" s="105">
        <f>M26*N13</f>
        <v>0</v>
      </c>
      <c r="O26" s="178" t="s">
        <v>28</v>
      </c>
      <c r="P26" s="179"/>
      <c r="Q26" s="149">
        <v>0</v>
      </c>
      <c r="R26" s="105">
        <f>Q26*R13</f>
        <v>0</v>
      </c>
      <c r="S26" s="178" t="s">
        <v>28</v>
      </c>
      <c r="T26" s="179"/>
      <c r="U26" s="107">
        <f t="shared" ref="U26:U28" si="7">F26+J26+N26+R26</f>
        <v>-8.0960000000000001</v>
      </c>
    </row>
    <row r="27" spans="2:21">
      <c r="B27" s="8">
        <v>2022</v>
      </c>
      <c r="C27" s="170" t="s">
        <v>29</v>
      </c>
      <c r="D27" s="171"/>
      <c r="E27" s="147">
        <v>0.90300000000000002</v>
      </c>
      <c r="F27" s="98">
        <f>E27*F13</f>
        <v>472.66632000000004</v>
      </c>
      <c r="G27" s="170" t="s">
        <v>29</v>
      </c>
      <c r="H27" s="171"/>
      <c r="I27" s="147">
        <v>0.90300000000000002</v>
      </c>
      <c r="J27" s="98">
        <f>I27*J13</f>
        <v>481.32608999999997</v>
      </c>
      <c r="K27" s="170" t="s">
        <v>29</v>
      </c>
      <c r="L27" s="171"/>
      <c r="M27" s="147">
        <v>0.76300000000000001</v>
      </c>
      <c r="N27" s="98">
        <f>M27*N13</f>
        <v>376.2353</v>
      </c>
      <c r="O27" s="170" t="s">
        <v>29</v>
      </c>
      <c r="P27" s="171"/>
      <c r="Q27" s="151">
        <v>0.72299999999999998</v>
      </c>
      <c r="R27" s="98">
        <f>Q27*R13</f>
        <v>381.02100000000002</v>
      </c>
      <c r="S27" s="170" t="s">
        <v>29</v>
      </c>
      <c r="T27" s="171"/>
      <c r="U27" s="107">
        <f t="shared" si="7"/>
        <v>1711.2487100000001</v>
      </c>
    </row>
    <row r="28" spans="2:21" ht="19.5" thickBot="1">
      <c r="B28" s="76">
        <f>ROUND(U7-U6,0)</f>
        <v>152</v>
      </c>
      <c r="C28" s="175" t="s">
        <v>40</v>
      </c>
      <c r="D28" s="176"/>
      <c r="E28" s="50">
        <f>+F14+F16+F17+F18+F19+F20+F22+F23+F24+F26+F27</f>
        <v>1408.0451720000001</v>
      </c>
      <c r="F28" s="47">
        <f>E28*25%</f>
        <v>352.01129300000002</v>
      </c>
      <c r="G28" s="175" t="s">
        <v>40</v>
      </c>
      <c r="H28" s="176"/>
      <c r="I28" s="50">
        <f>+J14+J16+J17+J18+J19+J20+J22+J23+J24+J26+J27</f>
        <v>1640.9874559999998</v>
      </c>
      <c r="J28" s="47">
        <f>I28*25%</f>
        <v>410.24686399999996</v>
      </c>
      <c r="K28" s="175" t="s">
        <v>40</v>
      </c>
      <c r="L28" s="176"/>
      <c r="M28" s="50">
        <f>+N14+N16+N17+N18+N19+N20+N22+N23+N24+N26+N27</f>
        <v>1475.3416299999999</v>
      </c>
      <c r="N28" s="47">
        <f>M28*25%</f>
        <v>368.83540749999997</v>
      </c>
      <c r="O28" s="175" t="s">
        <v>40</v>
      </c>
      <c r="P28" s="176"/>
      <c r="Q28" s="50">
        <f>+R14+R16+R17+R18+R19+R20+R22+R23+R24+R26+R27</f>
        <v>2742.9630000000006</v>
      </c>
      <c r="R28" s="47">
        <f>Q28*25%</f>
        <v>685.74075000000016</v>
      </c>
      <c r="S28" s="175" t="s">
        <v>30</v>
      </c>
      <c r="T28" s="176"/>
      <c r="U28" s="107">
        <f t="shared" si="7"/>
        <v>1816.8343145000001</v>
      </c>
    </row>
    <row r="29" spans="2:21" ht="19.5" thickBot="1">
      <c r="B29" s="14" t="str">
        <f>IF(S8&gt;=0," for meget "," for lidt ")</f>
        <v xml:space="preserve"> for meget </v>
      </c>
      <c r="C29" s="172" t="str">
        <f>CONCATENATE("I alt ",Manual!$G$4)</f>
        <v>I alt Norlys Energi A/S</v>
      </c>
      <c r="D29" s="173"/>
      <c r="E29" s="174"/>
      <c r="F29" s="49">
        <f>F14+F16+F17+F18+F19+F20+F22+F23+F24+F26+F27+F28</f>
        <v>1760.0564650000001</v>
      </c>
      <c r="G29" s="172" t="str">
        <f>CONCATENATE("I alt ",Manual!$G$4)</f>
        <v>I alt Norlys Energi A/S</v>
      </c>
      <c r="H29" s="173"/>
      <c r="I29" s="174"/>
      <c r="J29" s="49">
        <f>J14+J16+J17+J18+J19+J20+J22+J23+J24+J26+J27+J28</f>
        <v>2051.2343199999996</v>
      </c>
      <c r="K29" s="172" t="str">
        <f>CONCATENATE("I alt ",Manual!$G$4)</f>
        <v>I alt Norlys Energi A/S</v>
      </c>
      <c r="L29" s="173"/>
      <c r="M29" s="174"/>
      <c r="N29" s="49">
        <f>N14+N16+N17+N18+N19+N20+N22+N23+N24+N26+N27+N28</f>
        <v>1844.1770374999999</v>
      </c>
      <c r="O29" s="172" t="str">
        <f>CONCATENATE("I alt ",Manual!$G$4)</f>
        <v>I alt Norlys Energi A/S</v>
      </c>
      <c r="P29" s="173"/>
      <c r="Q29" s="174"/>
      <c r="R29" s="49">
        <f>R14+R16+R17+R18+R19+R20+R22+R23+R24+R26+R27+R28</f>
        <v>3428.7037500000006</v>
      </c>
      <c r="S29" s="172" t="str">
        <f>CONCATENATE("I alt ",Manual!$G$4)</f>
        <v>I alt Norlys Energi A/S</v>
      </c>
      <c r="T29" s="174"/>
      <c r="U29" s="49">
        <f>U14+U16+U17+U18+U19+U20+U22+U23+U24+U26+U27+U28</f>
        <v>9084.1715724999995</v>
      </c>
    </row>
    <row r="30" spans="2:21" ht="21.75" thickBot="1">
      <c r="C30" s="165" t="str">
        <f>CONCATENATE("GENNEMSNIT PRISER PER kWh I ",B3," ER INCL. ALLE AFGIFTER MED MOMS")</f>
        <v>GENNEMSNIT PRISER PER kWh I 2023 ER INCL. ALLE AFGIFTER MED MOMS</v>
      </c>
      <c r="D30" s="164"/>
      <c r="E30" s="164"/>
      <c r="F30" s="164"/>
      <c r="G30" s="164"/>
      <c r="H30" s="164"/>
      <c r="I30" s="164"/>
      <c r="J30" s="164"/>
      <c r="K30" s="164"/>
      <c r="L30" s="164"/>
      <c r="M30" s="164"/>
      <c r="N30" s="164"/>
      <c r="O30" s="164"/>
      <c r="P30" s="164"/>
      <c r="Q30" s="164"/>
      <c r="R30" s="164"/>
      <c r="S30" s="164"/>
      <c r="T30" s="164"/>
      <c r="U30" s="166"/>
    </row>
    <row r="31" spans="2:21" ht="19.5" thickBot="1">
      <c r="C31" s="172" t="str">
        <f>CONCATENATE("Gennemsnit per kWh 1. kvartal ",$B$3)</f>
        <v>Gennemsnit per kWh 1. kvartal 2023</v>
      </c>
      <c r="D31" s="173"/>
      <c r="E31" s="173"/>
      <c r="F31" s="51">
        <f>F29/F13</f>
        <v>3.362479873528962</v>
      </c>
      <c r="G31" s="172" t="str">
        <f>CONCATENATE("Gennemsnit per kWh 2. kvartal ",$B$3)</f>
        <v>Gennemsnit per kWh 2. kvartal 2023</v>
      </c>
      <c r="H31" s="173"/>
      <c r="I31" s="173"/>
      <c r="J31" s="51">
        <f>J29/G6</f>
        <v>3.8482530439187284</v>
      </c>
      <c r="K31" s="172" t="str">
        <f>CONCATENATE("Gennemsnit per kWh 3. kvartal ",$B$3)</f>
        <v>Gennemsnit per kWh 3. kvartal 2023</v>
      </c>
      <c r="L31" s="173"/>
      <c r="M31" s="173"/>
      <c r="N31" s="51">
        <f>N29/K6</f>
        <v>3.7399656002839174</v>
      </c>
      <c r="O31" s="172" t="str">
        <f>CONCATENATE("Gennemsnit per kWh 4. kvartal ",$B$3)</f>
        <v>Gennemsnit per kWh 4. kvartal 2023</v>
      </c>
      <c r="P31" s="173"/>
      <c r="Q31" s="173"/>
      <c r="R31" s="51">
        <f>R29/O6</f>
        <v>6.5060792220113859</v>
      </c>
      <c r="S31" s="172" t="str">
        <f>CONCATENATE("EL Gennemsnit/kWh ",$B$3)</f>
        <v>EL Gennemsnit/kWh 2023</v>
      </c>
      <c r="T31" s="173"/>
      <c r="U31" s="52">
        <f>U29/U6</f>
        <v>4.3746040694510651</v>
      </c>
    </row>
    <row r="32" spans="2:21" ht="19.5" thickBot="1"/>
    <row r="33" spans="2:24" ht="21.75" thickBot="1">
      <c r="C33" s="165" t="str">
        <f>CONCATENATE("BETALINGSSERVICE ",B3," AF EL TIL ",Manual!$G$4," PER KVARTAL")</f>
        <v>BETALINGSSERVICE 2023 AF EL TIL Norlys Energi A/S PER KVARTAL</v>
      </c>
      <c r="D33" s="164"/>
      <c r="E33" s="164"/>
      <c r="F33" s="164"/>
      <c r="G33" s="164"/>
      <c r="H33" s="164"/>
      <c r="I33" s="164"/>
      <c r="J33" s="164"/>
      <c r="K33" s="164"/>
      <c r="L33" s="164"/>
      <c r="M33" s="164"/>
      <c r="N33" s="164"/>
      <c r="O33" s="164"/>
      <c r="P33" s="164"/>
      <c r="Q33" s="164"/>
      <c r="R33" s="164"/>
      <c r="S33" s="164"/>
      <c r="T33" s="164"/>
      <c r="U33" s="166"/>
      <c r="W33" s="117" t="s">
        <v>56</v>
      </c>
      <c r="X33" s="118">
        <f>+T35</f>
        <v>8871.18</v>
      </c>
    </row>
    <row r="34" spans="2:24">
      <c r="B34" s="32"/>
      <c r="C34" s="167" t="str">
        <f>+B11</f>
        <v>1. kvartal</v>
      </c>
      <c r="D34" s="168"/>
      <c r="E34" s="168"/>
      <c r="F34" s="169"/>
      <c r="G34" s="167" t="str">
        <f>+B15</f>
        <v>2. kvartal</v>
      </c>
      <c r="H34" s="168"/>
      <c r="I34" s="168"/>
      <c r="J34" s="169"/>
      <c r="K34" s="167" t="str">
        <f>+B19</f>
        <v>3. kvartal</v>
      </c>
      <c r="L34" s="168"/>
      <c r="M34" s="168"/>
      <c r="N34" s="169"/>
      <c r="O34" s="167" t="str">
        <f>+B23</f>
        <v>4. kvartal</v>
      </c>
      <c r="P34" s="168"/>
      <c r="Q34" s="168"/>
      <c r="R34" s="169"/>
      <c r="S34" s="167">
        <f>+B3</f>
        <v>2023</v>
      </c>
      <c r="T34" s="168"/>
      <c r="U34" s="169"/>
      <c r="W34" s="117" t="str">
        <f>Manual!$G$4</f>
        <v>Norlys Energi A/S</v>
      </c>
      <c r="X34" s="118">
        <f>+T37</f>
        <v>9084.1715724999995</v>
      </c>
    </row>
    <row r="35" spans="2:24" ht="19.5" thickBot="1">
      <c r="B35" s="32"/>
      <c r="C35" s="40"/>
      <c r="D35" s="154">
        <v>1657.3</v>
      </c>
      <c r="E35" s="41"/>
      <c r="F35" s="42"/>
      <c r="G35" s="40"/>
      <c r="H35" s="154">
        <v>2076.64</v>
      </c>
      <c r="I35" s="41"/>
      <c r="J35" s="42"/>
      <c r="K35" s="40"/>
      <c r="L35" s="154">
        <v>1993.96</v>
      </c>
      <c r="M35" s="41"/>
      <c r="N35" s="42"/>
      <c r="O35" s="40"/>
      <c r="P35" s="154">
        <v>3143.28</v>
      </c>
      <c r="Q35" s="41"/>
      <c r="R35" s="42"/>
      <c r="S35" s="40"/>
      <c r="T35" s="61">
        <f>SUM(C35:R35)</f>
        <v>8871.18</v>
      </c>
      <c r="U35" s="42"/>
      <c r="W35" s="117" t="str">
        <f>IF(X35&gt;=0," Betalt for meget "," Betalt for lidt ")</f>
        <v xml:space="preserve"> Betalt for lidt </v>
      </c>
      <c r="X35" s="119">
        <f>X33-X34</f>
        <v>-212.99157249999917</v>
      </c>
    </row>
    <row r="36" spans="2:24" ht="21.75" thickBot="1">
      <c r="B36" s="32"/>
      <c r="C36" s="165" t="str">
        <f>CONCATENATE("FAKTURERET I ",B3," AF ",Manual!$G$4," PER KVARTAL")</f>
        <v>FAKTURERET I 2023 AF Norlys Energi A/S PER KVARTAL</v>
      </c>
      <c r="D36" s="164"/>
      <c r="E36" s="164"/>
      <c r="F36" s="164"/>
      <c r="G36" s="164"/>
      <c r="H36" s="164"/>
      <c r="I36" s="164"/>
      <c r="J36" s="164"/>
      <c r="K36" s="164"/>
      <c r="L36" s="164"/>
      <c r="M36" s="164"/>
      <c r="N36" s="164"/>
      <c r="O36" s="164"/>
      <c r="P36" s="164"/>
      <c r="Q36" s="164"/>
      <c r="R36" s="164"/>
      <c r="S36" s="164"/>
      <c r="T36" s="164"/>
      <c r="U36" s="166"/>
      <c r="W36" s="117" t="s">
        <v>88</v>
      </c>
      <c r="X36" s="138">
        <f>+'2022'!X38</f>
        <v>-4.6250319222363032</v>
      </c>
    </row>
    <row r="37" spans="2:24" ht="19.5" thickBot="1">
      <c r="B37" s="32"/>
      <c r="C37" s="67"/>
      <c r="D37" s="68">
        <f>+F29</f>
        <v>1760.0564650000001</v>
      </c>
      <c r="E37" s="69"/>
      <c r="F37" s="70"/>
      <c r="G37" s="67"/>
      <c r="H37" s="68">
        <f>+J29</f>
        <v>2051.2343199999996</v>
      </c>
      <c r="I37" s="69"/>
      <c r="J37" s="70"/>
      <c r="K37" s="67"/>
      <c r="L37" s="68">
        <f>+N29</f>
        <v>1844.1770374999999</v>
      </c>
      <c r="M37" s="69"/>
      <c r="N37" s="70"/>
      <c r="O37" s="67"/>
      <c r="P37" s="68">
        <f>+R29</f>
        <v>3428.7037500000006</v>
      </c>
      <c r="Q37" s="69"/>
      <c r="R37" s="70"/>
      <c r="S37" s="67"/>
      <c r="T37" s="68">
        <f>D37+H37+L37+P37</f>
        <v>9084.1715724999995</v>
      </c>
      <c r="U37" s="70"/>
      <c r="W37" s="120" t="s">
        <v>86</v>
      </c>
      <c r="X37" s="121">
        <f>X35+X36</f>
        <v>-217.61660442223547</v>
      </c>
    </row>
    <row r="38" spans="2:24">
      <c r="C38" s="109"/>
      <c r="D38" s="109"/>
      <c r="E38" s="109"/>
      <c r="F38" s="109"/>
      <c r="G38" s="109"/>
      <c r="H38" s="109"/>
      <c r="I38" s="109"/>
      <c r="J38" s="109"/>
      <c r="K38" s="109"/>
      <c r="L38" s="109"/>
      <c r="M38" s="109"/>
      <c r="N38" s="109"/>
      <c r="O38" s="109"/>
      <c r="P38" s="109"/>
      <c r="Q38" s="109"/>
      <c r="R38" s="109"/>
      <c r="S38" s="109"/>
      <c r="T38" s="109"/>
      <c r="U38" s="109"/>
      <c r="W38" s="117" t="s">
        <v>84</v>
      </c>
      <c r="X38" s="121">
        <f>+X37</f>
        <v>-217.61660442223547</v>
      </c>
    </row>
    <row r="39" spans="2:24">
      <c r="S39" s="38"/>
      <c r="T39" s="38"/>
      <c r="U39" s="38"/>
    </row>
    <row r="40" spans="2:24">
      <c r="S40" s="38"/>
      <c r="T40" s="38"/>
      <c r="U40" s="44"/>
    </row>
    <row r="41" spans="2:24">
      <c r="S41" s="38"/>
      <c r="T41" s="38"/>
      <c r="U41" s="44"/>
    </row>
    <row r="42" spans="2:24">
      <c r="S42" s="38"/>
      <c r="T42" s="38"/>
      <c r="U42" s="44"/>
    </row>
    <row r="43" spans="2:24">
      <c r="S43" s="38"/>
      <c r="T43" s="38"/>
    </row>
    <row r="44" spans="2:24">
      <c r="S44" s="33"/>
      <c r="T44" s="33"/>
      <c r="W44" s="32"/>
    </row>
    <row r="45" spans="2:24">
      <c r="W45" s="32"/>
    </row>
    <row r="46" spans="2:24">
      <c r="W46" s="32"/>
    </row>
    <row r="47" spans="2:24">
      <c r="W47" s="32"/>
    </row>
    <row r="48" spans="2:24">
      <c r="W48" s="32"/>
    </row>
    <row r="49" spans="3:23">
      <c r="W49" s="32"/>
    </row>
    <row r="50" spans="3:23">
      <c r="W50" s="32"/>
    </row>
    <row r="51" spans="3:23">
      <c r="W51" s="32"/>
    </row>
    <row r="52" spans="3:23">
      <c r="W52" s="32"/>
    </row>
    <row r="53" spans="3:23">
      <c r="W53" s="32"/>
    </row>
    <row r="54" spans="3:23">
      <c r="W54" s="32"/>
    </row>
    <row r="62" spans="3:23" ht="21">
      <c r="C62" s="74"/>
      <c r="D62" s="74"/>
      <c r="E62" s="74"/>
      <c r="F62" s="74"/>
      <c r="G62" s="74"/>
      <c r="H62" s="74"/>
      <c r="I62" s="74"/>
      <c r="J62" s="74"/>
      <c r="K62" s="74"/>
      <c r="L62" s="74"/>
      <c r="M62" s="74"/>
      <c r="N62" s="74"/>
      <c r="O62" s="74"/>
      <c r="P62" s="74"/>
      <c r="Q62" s="74"/>
      <c r="R62" s="74"/>
      <c r="S62" s="74"/>
      <c r="T62" s="74"/>
      <c r="U62" s="74"/>
    </row>
    <row r="63" spans="3:23">
      <c r="C63" s="75"/>
      <c r="D63" s="75"/>
      <c r="E63" s="75"/>
      <c r="F63" s="75"/>
      <c r="G63" s="75"/>
      <c r="H63" s="75"/>
      <c r="I63" s="75"/>
      <c r="J63" s="75"/>
      <c r="K63" s="75"/>
      <c r="L63" s="75"/>
      <c r="M63" s="75"/>
      <c r="N63" s="75"/>
      <c r="O63" s="75"/>
      <c r="P63" s="75"/>
      <c r="Q63" s="75"/>
      <c r="R63" s="75"/>
      <c r="S63" s="75"/>
      <c r="T63" s="75"/>
      <c r="U63" s="75"/>
    </row>
    <row r="64" spans="3:23">
      <c r="C64" s="72"/>
      <c r="D64" s="73"/>
      <c r="E64" s="72"/>
      <c r="F64" s="72"/>
      <c r="G64" s="72"/>
      <c r="H64" s="73"/>
      <c r="I64" s="72"/>
      <c r="J64" s="72"/>
      <c r="K64" s="72"/>
      <c r="L64" s="73"/>
      <c r="M64" s="72"/>
      <c r="N64" s="72"/>
      <c r="O64" s="72"/>
      <c r="P64" s="73"/>
      <c r="Q64" s="72"/>
      <c r="R64" s="72"/>
      <c r="S64" s="72"/>
      <c r="T64" s="73"/>
      <c r="U64" s="72"/>
    </row>
  </sheetData>
  <sheetProtection password="D5AA" sheet="1" objects="1" scenarios="1"/>
  <mergeCells count="145">
    <mergeCell ref="B1:U2"/>
    <mergeCell ref="E3:F3"/>
    <mergeCell ref="I3:J3"/>
    <mergeCell ref="M3:N3"/>
    <mergeCell ref="Q3:R3"/>
    <mergeCell ref="E4:F4"/>
    <mergeCell ref="I4:J4"/>
    <mergeCell ref="M4:N4"/>
    <mergeCell ref="Q4:R4"/>
    <mergeCell ref="S6:T6"/>
    <mergeCell ref="W6:AD6"/>
    <mergeCell ref="E7:F7"/>
    <mergeCell ref="I7:J7"/>
    <mergeCell ref="M7:N7"/>
    <mergeCell ref="Q7:R7"/>
    <mergeCell ref="S7:T7"/>
    <mergeCell ref="E5:F5"/>
    <mergeCell ref="I5:J5"/>
    <mergeCell ref="M5:N5"/>
    <mergeCell ref="Q5:R5"/>
    <mergeCell ref="E6:F6"/>
    <mergeCell ref="I6:J6"/>
    <mergeCell ref="M6:N6"/>
    <mergeCell ref="Q6:R6"/>
    <mergeCell ref="E8:F8"/>
    <mergeCell ref="I8:J8"/>
    <mergeCell ref="M8:N8"/>
    <mergeCell ref="Q8:R8"/>
    <mergeCell ref="T8:U8"/>
    <mergeCell ref="D9:F9"/>
    <mergeCell ref="H9:J9"/>
    <mergeCell ref="L9:N9"/>
    <mergeCell ref="P9:R9"/>
    <mergeCell ref="T9:U9"/>
    <mergeCell ref="C12:D12"/>
    <mergeCell ref="G12:H12"/>
    <mergeCell ref="K12:L12"/>
    <mergeCell ref="O12:P12"/>
    <mergeCell ref="S12:T12"/>
    <mergeCell ref="Y12:Z12"/>
    <mergeCell ref="W9:AD9"/>
    <mergeCell ref="C11:F11"/>
    <mergeCell ref="G11:J11"/>
    <mergeCell ref="K11:N11"/>
    <mergeCell ref="O11:R11"/>
    <mergeCell ref="S11:U11"/>
    <mergeCell ref="Y11:Z11"/>
    <mergeCell ref="C13:D13"/>
    <mergeCell ref="G13:H13"/>
    <mergeCell ref="K13:L13"/>
    <mergeCell ref="O13:P13"/>
    <mergeCell ref="S13:T13"/>
    <mergeCell ref="C14:D14"/>
    <mergeCell ref="G14:H14"/>
    <mergeCell ref="K14:L14"/>
    <mergeCell ref="O14:P14"/>
    <mergeCell ref="S14:T14"/>
    <mergeCell ref="C15:F15"/>
    <mergeCell ref="G15:J15"/>
    <mergeCell ref="K15:N15"/>
    <mergeCell ref="O15:R15"/>
    <mergeCell ref="S15:U15"/>
    <mergeCell ref="C16:D16"/>
    <mergeCell ref="G16:H16"/>
    <mergeCell ref="K16:L16"/>
    <mergeCell ref="O16:P16"/>
    <mergeCell ref="S16:T16"/>
    <mergeCell ref="C17:D17"/>
    <mergeCell ref="G17:H17"/>
    <mergeCell ref="K17:L17"/>
    <mergeCell ref="O17:P17"/>
    <mergeCell ref="S17:T17"/>
    <mergeCell ref="C18:D18"/>
    <mergeCell ref="G18:H18"/>
    <mergeCell ref="K18:L18"/>
    <mergeCell ref="O18:P18"/>
    <mergeCell ref="S18:T18"/>
    <mergeCell ref="C19:D19"/>
    <mergeCell ref="G19:H19"/>
    <mergeCell ref="K19:L19"/>
    <mergeCell ref="O19:P19"/>
    <mergeCell ref="S19:T19"/>
    <mergeCell ref="C20:D20"/>
    <mergeCell ref="G20:H20"/>
    <mergeCell ref="K20:L20"/>
    <mergeCell ref="O20:P20"/>
    <mergeCell ref="S20:T20"/>
    <mergeCell ref="C21:F21"/>
    <mergeCell ref="G21:J21"/>
    <mergeCell ref="K21:N21"/>
    <mergeCell ref="O21:R21"/>
    <mergeCell ref="S21:U21"/>
    <mergeCell ref="C22:D22"/>
    <mergeCell ref="G22:H22"/>
    <mergeCell ref="K22:L22"/>
    <mergeCell ref="O22:P22"/>
    <mergeCell ref="S22:T22"/>
    <mergeCell ref="C23:D23"/>
    <mergeCell ref="G23:H23"/>
    <mergeCell ref="K23:L23"/>
    <mergeCell ref="O23:P23"/>
    <mergeCell ref="S23:T23"/>
    <mergeCell ref="C24:D24"/>
    <mergeCell ref="G24:H24"/>
    <mergeCell ref="K24:L24"/>
    <mergeCell ref="O24:P24"/>
    <mergeCell ref="S24:T24"/>
    <mergeCell ref="C25:F25"/>
    <mergeCell ref="G25:J25"/>
    <mergeCell ref="K25:N25"/>
    <mergeCell ref="O25:R25"/>
    <mergeCell ref="S25:U25"/>
    <mergeCell ref="C26:D26"/>
    <mergeCell ref="G26:H26"/>
    <mergeCell ref="K26:L26"/>
    <mergeCell ref="O26:P26"/>
    <mergeCell ref="S26:T26"/>
    <mergeCell ref="C29:E29"/>
    <mergeCell ref="G29:I29"/>
    <mergeCell ref="K29:M29"/>
    <mergeCell ref="O29:Q29"/>
    <mergeCell ref="S29:T29"/>
    <mergeCell ref="C30:U30"/>
    <mergeCell ref="C27:D27"/>
    <mergeCell ref="G27:H27"/>
    <mergeCell ref="K27:L27"/>
    <mergeCell ref="O27:P27"/>
    <mergeCell ref="S27:T27"/>
    <mergeCell ref="C28:D28"/>
    <mergeCell ref="G28:H28"/>
    <mergeCell ref="K28:L28"/>
    <mergeCell ref="O28:P28"/>
    <mergeCell ref="S28:T28"/>
    <mergeCell ref="C34:F34"/>
    <mergeCell ref="G34:J34"/>
    <mergeCell ref="K34:N34"/>
    <mergeCell ref="O34:R34"/>
    <mergeCell ref="S34:U34"/>
    <mergeCell ref="C36:U36"/>
    <mergeCell ref="C31:E31"/>
    <mergeCell ref="G31:I31"/>
    <mergeCell ref="K31:M31"/>
    <mergeCell ref="O31:Q31"/>
    <mergeCell ref="S31:T31"/>
    <mergeCell ref="C33:U33"/>
  </mergeCells>
  <printOptions horizontalCentered="1" verticalCentered="1"/>
  <pageMargins left="0.51181102362204722" right="0" top="0" bottom="0" header="0" footer="0.31496062992125984"/>
  <pageSetup paperSize="9" scale="41" orientation="landscape" r:id="rId1"/>
  <headerFooter>
    <oddFooter>Side &amp;P&amp;RNorlys EL Forbrug.xlsx</oddFooter>
  </headerFooter>
  <ignoredErrors>
    <ignoredError sqref="E18 I18 M18 Q18" unlockedFormula="1"/>
  </ignoredErrors>
  <drawing r:id="rId2"/>
</worksheet>
</file>

<file path=xl/worksheets/sheet5.xml><?xml version="1.0" encoding="utf-8"?>
<worksheet xmlns="http://schemas.openxmlformats.org/spreadsheetml/2006/main" xmlns:r="http://schemas.openxmlformats.org/officeDocument/2006/relationships">
  <sheetPr>
    <pageSetUpPr fitToPage="1"/>
  </sheetPr>
  <dimension ref="B1:AD64"/>
  <sheetViews>
    <sheetView zoomScale="80" zoomScaleNormal="80" workbookViewId="0"/>
  </sheetViews>
  <sheetFormatPr defaultRowHeight="18.75"/>
  <cols>
    <col min="1" max="1" width="2.7109375" style="1" customWidth="1"/>
    <col min="2" max="2" width="23.140625" style="1" customWidth="1"/>
    <col min="3" max="4" width="15.7109375" style="1" customWidth="1"/>
    <col min="5" max="5" width="17" style="1" customWidth="1"/>
    <col min="6" max="6" width="16.28515625" style="1" customWidth="1"/>
    <col min="7" max="8" width="15.7109375" style="1" customWidth="1"/>
    <col min="9" max="9" width="17.140625" style="1" customWidth="1"/>
    <col min="10" max="10" width="16.28515625" style="1" customWidth="1"/>
    <col min="11" max="12" width="15.7109375" style="1" customWidth="1"/>
    <col min="13" max="13" width="17.140625" style="1" customWidth="1"/>
    <col min="14" max="14" width="16.28515625" style="1" customWidth="1"/>
    <col min="15" max="16" width="15.7109375" style="1" customWidth="1"/>
    <col min="17" max="17" width="17.140625" style="1" customWidth="1"/>
    <col min="18" max="18" width="16.28515625" style="1" customWidth="1"/>
    <col min="19" max="20" width="14.7109375" style="1" customWidth="1"/>
    <col min="21" max="21" width="17.7109375" style="1" bestFit="1" customWidth="1"/>
    <col min="22" max="22" width="3.7109375" style="1" customWidth="1"/>
    <col min="23" max="23" width="51.85546875" style="1" customWidth="1"/>
    <col min="24" max="24" width="15" style="1" bestFit="1" customWidth="1"/>
    <col min="25" max="26" width="15.7109375" style="1" customWidth="1"/>
    <col min="27" max="27" width="9.85546875" style="1" bestFit="1" customWidth="1"/>
    <col min="28" max="29" width="15.7109375" style="1" customWidth="1"/>
    <col min="30" max="30" width="24.7109375" style="1" bestFit="1" customWidth="1"/>
    <col min="31" max="16384" width="9.140625" style="1"/>
  </cols>
  <sheetData>
    <row r="1" spans="2:30" ht="18.75" customHeight="1">
      <c r="B1" s="210" t="str">
        <f>CONCATENATE("EL forbrug i ",Manual!G2," fra den ",W2,X2)</f>
        <v>EL forbrug i Storegade 6, 2. sal, th. fra den 1. januar til den 31. december 2024</v>
      </c>
      <c r="C1" s="211"/>
      <c r="D1" s="211"/>
      <c r="E1" s="211"/>
      <c r="F1" s="211"/>
      <c r="G1" s="211"/>
      <c r="H1" s="211"/>
      <c r="I1" s="211"/>
      <c r="J1" s="211"/>
      <c r="K1" s="211"/>
      <c r="L1" s="211"/>
      <c r="M1" s="211"/>
      <c r="N1" s="211"/>
      <c r="O1" s="211"/>
      <c r="P1" s="211"/>
      <c r="Q1" s="211"/>
      <c r="R1" s="211"/>
      <c r="S1" s="211"/>
      <c r="T1" s="211"/>
      <c r="U1" s="212"/>
    </row>
    <row r="2" spans="2:30" ht="27" customHeight="1" thickBot="1">
      <c r="B2" s="213"/>
      <c r="C2" s="214"/>
      <c r="D2" s="214"/>
      <c r="E2" s="214"/>
      <c r="F2" s="214"/>
      <c r="G2" s="214"/>
      <c r="H2" s="214"/>
      <c r="I2" s="214"/>
      <c r="J2" s="214"/>
      <c r="K2" s="214"/>
      <c r="L2" s="214"/>
      <c r="M2" s="214"/>
      <c r="N2" s="214"/>
      <c r="O2" s="214"/>
      <c r="P2" s="214"/>
      <c r="Q2" s="214"/>
      <c r="R2" s="214"/>
      <c r="S2" s="214"/>
      <c r="T2" s="214"/>
      <c r="U2" s="215"/>
      <c r="W2" s="90" t="s">
        <v>68</v>
      </c>
      <c r="X2" s="34">
        <f>+B3</f>
        <v>2024</v>
      </c>
    </row>
    <row r="3" spans="2:30">
      <c r="B3" s="142">
        <f>'2021'!$B$3+3</f>
        <v>2024</v>
      </c>
      <c r="C3" s="77" t="s">
        <v>0</v>
      </c>
      <c r="D3" s="78" t="s">
        <v>1</v>
      </c>
      <c r="E3" s="168" t="s">
        <v>2</v>
      </c>
      <c r="F3" s="169"/>
      <c r="G3" s="5" t="s">
        <v>3</v>
      </c>
      <c r="H3" s="78" t="s">
        <v>4</v>
      </c>
      <c r="I3" s="168" t="s">
        <v>5</v>
      </c>
      <c r="J3" s="169"/>
      <c r="K3" s="77" t="s">
        <v>6</v>
      </c>
      <c r="L3" s="78" t="s">
        <v>7</v>
      </c>
      <c r="M3" s="223" t="s">
        <v>8</v>
      </c>
      <c r="N3" s="224"/>
      <c r="O3" s="5" t="s">
        <v>9</v>
      </c>
      <c r="P3" s="78" t="s">
        <v>10</v>
      </c>
      <c r="Q3" s="223" t="s">
        <v>11</v>
      </c>
      <c r="R3" s="225"/>
      <c r="S3" s="77" t="s">
        <v>12</v>
      </c>
      <c r="T3" s="78" t="s">
        <v>13</v>
      </c>
      <c r="U3" s="79" t="s">
        <v>55</v>
      </c>
    </row>
    <row r="4" spans="2:30">
      <c r="B4" s="53" t="s">
        <v>63</v>
      </c>
      <c r="C4" s="55">
        <f>C5*$F$31</f>
        <v>642.97340141620816</v>
      </c>
      <c r="D4" s="56">
        <f t="shared" ref="D4:E4" si="0">D5*$F$31</f>
        <v>529.55695528207627</v>
      </c>
      <c r="E4" s="180">
        <f t="shared" si="0"/>
        <v>587.52610830171545</v>
      </c>
      <c r="F4" s="181"/>
      <c r="G4" s="58">
        <f>G5*$J$31</f>
        <v>636.65498358591447</v>
      </c>
      <c r="H4" s="58">
        <f t="shared" ref="H4:I4" si="1">H5*$J$31</f>
        <v>706.80863657655277</v>
      </c>
      <c r="I4" s="182">
        <f t="shared" si="1"/>
        <v>707.77069983753245</v>
      </c>
      <c r="J4" s="181"/>
      <c r="K4" s="57">
        <f>K5*$N$31</f>
        <v>674.9889915392414</v>
      </c>
      <c r="L4" s="58">
        <f t="shared" ref="L4:M4" si="2">L5*$N$31</f>
        <v>596.03831771724799</v>
      </c>
      <c r="M4" s="182">
        <f t="shared" si="2"/>
        <v>573.14972824351037</v>
      </c>
      <c r="N4" s="181"/>
      <c r="O4" s="59">
        <f>O5*$R$31</f>
        <v>780.72950664136636</v>
      </c>
      <c r="P4" s="56">
        <f t="shared" ref="P4:Q4" si="3">P5*$R$31</f>
        <v>1301.2158444022771</v>
      </c>
      <c r="Q4" s="180">
        <f t="shared" si="3"/>
        <v>1346.7583989563568</v>
      </c>
      <c r="R4" s="180"/>
      <c r="S4" s="62">
        <f>S5*$U$31</f>
        <v>524.95248833412779</v>
      </c>
      <c r="T4" s="56">
        <f t="shared" ref="T4:U4" si="4">T5*$U$31</f>
        <v>905.54304237637052</v>
      </c>
      <c r="U4" s="39">
        <f t="shared" si="4"/>
        <v>715.24776535524916</v>
      </c>
    </row>
    <row r="5" spans="2:30" s="109" customFormat="1" ht="19.5" thickBot="1">
      <c r="B5" s="54" t="s">
        <v>14</v>
      </c>
      <c r="C5" s="125">
        <v>191.22</v>
      </c>
      <c r="D5" s="143">
        <v>157.49</v>
      </c>
      <c r="E5" s="192">
        <v>174.73</v>
      </c>
      <c r="F5" s="197"/>
      <c r="G5" s="128">
        <v>165.44</v>
      </c>
      <c r="H5" s="127">
        <v>183.67</v>
      </c>
      <c r="I5" s="202">
        <v>183.92</v>
      </c>
      <c r="J5" s="203"/>
      <c r="K5" s="125">
        <v>180.48</v>
      </c>
      <c r="L5" s="143">
        <v>159.37</v>
      </c>
      <c r="M5" s="192">
        <v>153.25</v>
      </c>
      <c r="N5" s="197"/>
      <c r="O5" s="128">
        <v>120</v>
      </c>
      <c r="P5" s="144">
        <v>200</v>
      </c>
      <c r="Q5" s="226">
        <v>207</v>
      </c>
      <c r="R5" s="227"/>
      <c r="S5" s="30">
        <f>MIN(C5:Q5)</f>
        <v>120</v>
      </c>
      <c r="T5" s="31">
        <f>MAX(C5:Q5)</f>
        <v>207</v>
      </c>
      <c r="U5" s="12">
        <f>AVERAGE(S5:T5)</f>
        <v>163.5</v>
      </c>
    </row>
    <row r="6" spans="2:30">
      <c r="B6" s="35" t="s">
        <v>61</v>
      </c>
      <c r="C6" s="95">
        <f>C5+D5+E5</f>
        <v>523.44000000000005</v>
      </c>
      <c r="D6" s="85" t="s">
        <v>21</v>
      </c>
      <c r="E6" s="185" t="s">
        <v>42</v>
      </c>
      <c r="F6" s="186"/>
      <c r="G6" s="21">
        <f>G5+H5+I5</f>
        <v>533.03</v>
      </c>
      <c r="H6" s="85" t="s">
        <v>21</v>
      </c>
      <c r="I6" s="195" t="s">
        <v>42</v>
      </c>
      <c r="J6" s="198"/>
      <c r="K6" s="22">
        <f>K5+L5+M5</f>
        <v>493.1</v>
      </c>
      <c r="L6" s="85" t="s">
        <v>21</v>
      </c>
      <c r="M6" s="194" t="s">
        <v>42</v>
      </c>
      <c r="N6" s="198"/>
      <c r="O6" s="21">
        <f>O5+P5+Q5</f>
        <v>527</v>
      </c>
      <c r="P6" s="85" t="s">
        <v>21</v>
      </c>
      <c r="Q6" s="194" t="s">
        <v>42</v>
      </c>
      <c r="R6" s="194"/>
      <c r="S6" s="204" t="s">
        <v>42</v>
      </c>
      <c r="T6" s="205"/>
      <c r="U6" s="29">
        <f>C6+G6+K6+O6</f>
        <v>2076.5700000000002</v>
      </c>
      <c r="W6" s="209" t="s">
        <v>73</v>
      </c>
      <c r="X6" s="209"/>
      <c r="Y6" s="209"/>
      <c r="Z6" s="209"/>
      <c r="AA6" s="209"/>
      <c r="AB6" s="209"/>
      <c r="AC6" s="209"/>
      <c r="AD6" s="209"/>
    </row>
    <row r="7" spans="2:30">
      <c r="B7" s="35" t="s">
        <v>59</v>
      </c>
      <c r="C7" s="129">
        <v>561</v>
      </c>
      <c r="D7" s="85" t="s">
        <v>21</v>
      </c>
      <c r="E7" s="185" t="s">
        <v>41</v>
      </c>
      <c r="F7" s="186"/>
      <c r="G7" s="145">
        <v>567</v>
      </c>
      <c r="H7" s="85" t="s">
        <v>21</v>
      </c>
      <c r="I7" s="185" t="s">
        <v>41</v>
      </c>
      <c r="J7" s="186"/>
      <c r="K7" s="129">
        <v>574</v>
      </c>
      <c r="L7" s="85" t="s">
        <v>21</v>
      </c>
      <c r="M7" s="185" t="s">
        <v>41</v>
      </c>
      <c r="N7" s="186"/>
      <c r="O7" s="130">
        <v>527</v>
      </c>
      <c r="P7" s="85" t="s">
        <v>21</v>
      </c>
      <c r="Q7" s="185" t="s">
        <v>41</v>
      </c>
      <c r="R7" s="195"/>
      <c r="S7" s="199" t="s">
        <v>41</v>
      </c>
      <c r="T7" s="185"/>
      <c r="U7" s="84">
        <f>C7+G7+K7+O7</f>
        <v>2229</v>
      </c>
      <c r="W7" s="2" t="s">
        <v>89</v>
      </c>
    </row>
    <row r="8" spans="2:30" ht="19.5" thickBot="1">
      <c r="B8" s="35" t="s">
        <v>57</v>
      </c>
      <c r="C8" s="102">
        <f>+ROUND(B12,0)</f>
        <v>38</v>
      </c>
      <c r="D8" s="82" t="s">
        <v>48</v>
      </c>
      <c r="E8" s="221" t="str">
        <f>CONCATENATE(C8,D8,B13,"a'conto")</f>
        <v>38 kWh for meget a'conto</v>
      </c>
      <c r="F8" s="222"/>
      <c r="G8" s="103">
        <f>+ROUND(B16,0)</f>
        <v>34</v>
      </c>
      <c r="H8" s="82" t="s">
        <v>48</v>
      </c>
      <c r="I8" s="221" t="str">
        <f>CONCATENATE(G8,H8,B17,"a'conto")</f>
        <v>34 kWh for meget a'conto</v>
      </c>
      <c r="J8" s="222"/>
      <c r="K8" s="102">
        <f>+ROUND(B20,0)</f>
        <v>81</v>
      </c>
      <c r="L8" s="82" t="s">
        <v>48</v>
      </c>
      <c r="M8" s="221" t="str">
        <f>CONCATENATE(K8,L8,B21,"a'conto")</f>
        <v>81 kWh for meget a'conto</v>
      </c>
      <c r="N8" s="222"/>
      <c r="O8" s="104">
        <f>+ROUND(B24,0)</f>
        <v>0</v>
      </c>
      <c r="P8" s="82" t="s">
        <v>48</v>
      </c>
      <c r="Q8" s="221" t="str">
        <f>CONCATENATE(O8,P8,B25,"a'conto")</f>
        <v>0 kWh for meget a'conto</v>
      </c>
      <c r="R8" s="187"/>
      <c r="S8" s="102">
        <f>+ROUND(B28,0)</f>
        <v>152</v>
      </c>
      <c r="T8" s="221" t="str">
        <f>CONCATENATE(S8,P8,B29,"a'conto")</f>
        <v>152 kWh for meget a'conto</v>
      </c>
      <c r="U8" s="222"/>
      <c r="W8" s="81" t="s">
        <v>43</v>
      </c>
      <c r="X8" s="140">
        <v>1600</v>
      </c>
      <c r="Y8" s="109" t="s">
        <v>44</v>
      </c>
      <c r="Z8" s="109" t="s">
        <v>45</v>
      </c>
      <c r="AA8" s="141">
        <v>2.4</v>
      </c>
      <c r="AB8" s="109" t="s">
        <v>46</v>
      </c>
      <c r="AC8" s="110">
        <f>X8*AA8</f>
        <v>3840</v>
      </c>
      <c r="AD8" s="81" t="s">
        <v>47</v>
      </c>
    </row>
    <row r="9" spans="2:30" ht="19.5" thickBot="1">
      <c r="B9" s="36" t="s">
        <v>60</v>
      </c>
      <c r="C9" s="37">
        <f>C8*F31</f>
        <v>127.77423519410056</v>
      </c>
      <c r="D9" s="187" t="str">
        <f>IF(C8&gt;=0," Betalt for meget, sænk skønnet forbrug "," Betalt for lidt, hæv skønnet forbrug ")</f>
        <v xml:space="preserve"> Betalt for meget, sænk skønnet forbrug </v>
      </c>
      <c r="E9" s="188"/>
      <c r="F9" s="189"/>
      <c r="G9" s="37">
        <f>G8*J31</f>
        <v>130.84060349323676</v>
      </c>
      <c r="H9" s="187" t="str">
        <f>IF(G8&gt;=0," Betalt for meget, sænk skønnet forbrug "," Betalt for lidt, hæv skønnet forbrug ")</f>
        <v xml:space="preserve"> Betalt for meget, sænk skønnet forbrug </v>
      </c>
      <c r="I9" s="188"/>
      <c r="J9" s="189"/>
      <c r="K9" s="37">
        <f>K8*N31</f>
        <v>302.93721362299732</v>
      </c>
      <c r="L9" s="187" t="str">
        <f>IF(K8&gt;=0," Betalt for meget, sænk skønnet forbrug "," Betalt for lidt, hæv skønnet forbrug ")</f>
        <v xml:space="preserve"> Betalt for meget, sænk skønnet forbrug </v>
      </c>
      <c r="M9" s="188"/>
      <c r="N9" s="189"/>
      <c r="O9" s="37">
        <f>O8*R31</f>
        <v>0</v>
      </c>
      <c r="P9" s="187" t="str">
        <f>IF(O8&gt;=0," Betalt for meget, sænk skønnet forbrug "," Betalt for lidt, hæv skønnet forbrug ")</f>
        <v xml:space="preserve"> Betalt for meget, sænk skønnet forbrug </v>
      </c>
      <c r="Q9" s="188"/>
      <c r="R9" s="189"/>
      <c r="S9" s="37">
        <f>C9+G9+K9+O9</f>
        <v>561.5520523103346</v>
      </c>
      <c r="T9" s="188" t="str">
        <f>IF(S8&gt;=0," Betalt for meget i 2022 "," Betalt for lidt i 2022 ")</f>
        <v xml:space="preserve"> Betalt for meget i 2022 </v>
      </c>
      <c r="U9" s="189"/>
      <c r="W9" s="220" t="s">
        <v>93</v>
      </c>
      <c r="X9" s="220"/>
      <c r="Y9" s="220"/>
      <c r="Z9" s="220"/>
      <c r="AA9" s="220"/>
      <c r="AB9" s="220"/>
      <c r="AC9" s="220"/>
      <c r="AD9" s="220"/>
    </row>
    <row r="10" spans="2:30" ht="19.5" thickBot="1">
      <c r="W10" s="139">
        <v>2</v>
      </c>
      <c r="X10" s="13">
        <f>U6</f>
        <v>2076.5700000000002</v>
      </c>
      <c r="Y10" s="109" t="s">
        <v>44</v>
      </c>
      <c r="Z10" s="109" t="s">
        <v>45</v>
      </c>
      <c r="AA10" s="50">
        <f>U31</f>
        <v>4.3746040694510651</v>
      </c>
      <c r="AB10" s="109" t="s">
        <v>46</v>
      </c>
      <c r="AC10" s="110">
        <f>X10*AA10</f>
        <v>9084.1715724999995</v>
      </c>
      <c r="AD10" s="81"/>
    </row>
    <row r="11" spans="2:30" ht="19.5" thickBot="1">
      <c r="B11" s="8" t="s">
        <v>49</v>
      </c>
      <c r="C11" s="172" t="s">
        <v>34</v>
      </c>
      <c r="D11" s="173"/>
      <c r="E11" s="173"/>
      <c r="F11" s="177"/>
      <c r="G11" s="172" t="s">
        <v>32</v>
      </c>
      <c r="H11" s="173"/>
      <c r="I11" s="173"/>
      <c r="J11" s="177"/>
      <c r="K11" s="172" t="s">
        <v>35</v>
      </c>
      <c r="L11" s="173"/>
      <c r="M11" s="173"/>
      <c r="N11" s="177"/>
      <c r="O11" s="172" t="s">
        <v>36</v>
      </c>
      <c r="P11" s="173"/>
      <c r="Q11" s="173"/>
      <c r="R11" s="177"/>
      <c r="S11" s="172" t="s">
        <v>33</v>
      </c>
      <c r="T11" s="173"/>
      <c r="U11" s="177"/>
      <c r="W11" s="108" t="s">
        <v>62</v>
      </c>
      <c r="X11" s="109">
        <f>+W10</f>
        <v>2</v>
      </c>
      <c r="Y11" s="208" t="s">
        <v>70</v>
      </c>
      <c r="Z11" s="208"/>
      <c r="AA11" s="13">
        <f>+X10</f>
        <v>2076.5700000000002</v>
      </c>
      <c r="AB11" s="109" t="s">
        <v>44</v>
      </c>
      <c r="AC11" s="111">
        <f>+AC10</f>
        <v>9084.1715724999995</v>
      </c>
      <c r="AD11" s="1" t="s">
        <v>71</v>
      </c>
    </row>
    <row r="12" spans="2:30">
      <c r="B12" s="76">
        <f>ROUND(C7-C6,0)</f>
        <v>38</v>
      </c>
      <c r="C12" s="178" t="s">
        <v>15</v>
      </c>
      <c r="D12" s="179"/>
      <c r="E12" s="146">
        <v>1.337</v>
      </c>
      <c r="F12" s="7"/>
      <c r="G12" s="178" t="s">
        <v>15</v>
      </c>
      <c r="H12" s="179"/>
      <c r="I12" s="146">
        <v>1.7558</v>
      </c>
      <c r="J12" s="7"/>
      <c r="K12" s="178" t="s">
        <v>15</v>
      </c>
      <c r="L12" s="179"/>
      <c r="M12" s="146">
        <v>1.7223999999999999</v>
      </c>
      <c r="N12" s="7"/>
      <c r="O12" s="178" t="s">
        <v>15</v>
      </c>
      <c r="P12" s="179"/>
      <c r="Q12" s="146">
        <v>3.9573</v>
      </c>
      <c r="R12" s="7"/>
      <c r="S12" s="206" t="s">
        <v>54</v>
      </c>
      <c r="T12" s="207"/>
      <c r="U12" s="23">
        <f>U14/U13</f>
        <v>2.2010073794767329</v>
      </c>
      <c r="X12" s="109">
        <v>1</v>
      </c>
      <c r="Y12" s="208" t="s">
        <v>72</v>
      </c>
      <c r="Z12" s="208"/>
      <c r="AA12" s="13">
        <f>AA11/X11</f>
        <v>1038.2850000000001</v>
      </c>
      <c r="AB12" s="109" t="s">
        <v>44</v>
      </c>
      <c r="AC12" s="111">
        <f>AC11/X11</f>
        <v>4542.0857862499997</v>
      </c>
      <c r="AD12" s="1" t="s">
        <v>71</v>
      </c>
    </row>
    <row r="13" spans="2:30" ht="19.5" thickBot="1">
      <c r="B13" s="14" t="str">
        <f>IF(C8&gt;=0," for meget "," for lidt ")</f>
        <v xml:space="preserve"> for meget </v>
      </c>
      <c r="C13" s="170" t="s">
        <v>37</v>
      </c>
      <c r="D13" s="171"/>
      <c r="E13" s="109" t="s">
        <v>21</v>
      </c>
      <c r="F13" s="83">
        <f>+C6</f>
        <v>523.44000000000005</v>
      </c>
      <c r="G13" s="170" t="s">
        <v>20</v>
      </c>
      <c r="H13" s="171"/>
      <c r="I13" s="109" t="s">
        <v>21</v>
      </c>
      <c r="J13" s="83">
        <f>G6</f>
        <v>533.03</v>
      </c>
      <c r="K13" s="170" t="s">
        <v>38</v>
      </c>
      <c r="L13" s="171"/>
      <c r="M13" s="109" t="s">
        <v>21</v>
      </c>
      <c r="N13" s="83">
        <f>K6</f>
        <v>493.1</v>
      </c>
      <c r="O13" s="170" t="s">
        <v>39</v>
      </c>
      <c r="P13" s="171"/>
      <c r="Q13" s="109" t="s">
        <v>21</v>
      </c>
      <c r="R13" s="83">
        <f>O6</f>
        <v>527</v>
      </c>
      <c r="S13" s="170" t="s">
        <v>53</v>
      </c>
      <c r="T13" s="171"/>
      <c r="U13" s="84">
        <f>F13+J13+N13+R13</f>
        <v>2076.5700000000002</v>
      </c>
      <c r="W13" s="114" t="s">
        <v>75</v>
      </c>
      <c r="X13" s="112"/>
      <c r="Y13" s="112"/>
      <c r="Z13" s="113"/>
      <c r="AA13" s="113"/>
      <c r="AB13" s="116" t="str">
        <f>IF(AC13&gt;=0," mere ","mindre ")</f>
        <v xml:space="preserve"> mere </v>
      </c>
      <c r="AC13" s="115">
        <f>AC12-AC8</f>
        <v>702.08578624999973</v>
      </c>
      <c r="AD13" s="113" t="s">
        <v>71</v>
      </c>
    </row>
    <row r="14" spans="2:30" ht="19.5" thickBot="1">
      <c r="C14" s="175" t="s">
        <v>69</v>
      </c>
      <c r="D14" s="176"/>
      <c r="E14" s="9"/>
      <c r="F14" s="45">
        <f>E12*F13</f>
        <v>699.83928000000003</v>
      </c>
      <c r="G14" s="175" t="s">
        <v>69</v>
      </c>
      <c r="H14" s="176"/>
      <c r="I14" s="9"/>
      <c r="J14" s="45">
        <f>I12*J13</f>
        <v>935.89407399999993</v>
      </c>
      <c r="K14" s="175" t="s">
        <v>69</v>
      </c>
      <c r="L14" s="176"/>
      <c r="M14" s="9"/>
      <c r="N14" s="45">
        <f>M12*N13</f>
        <v>849.31543999999997</v>
      </c>
      <c r="O14" s="175" t="s">
        <v>69</v>
      </c>
      <c r="P14" s="176"/>
      <c r="Q14" s="9"/>
      <c r="R14" s="45">
        <f>Q12*R13</f>
        <v>2085.4971</v>
      </c>
      <c r="S14" s="175" t="s">
        <v>69</v>
      </c>
      <c r="T14" s="176"/>
      <c r="U14" s="46">
        <f>F14+J14+N14+R14</f>
        <v>4570.5458939999999</v>
      </c>
      <c r="W14" s="63"/>
      <c r="X14" s="63"/>
      <c r="Y14" s="63"/>
      <c r="Z14" s="63"/>
      <c r="AA14" s="63"/>
      <c r="AB14" s="63"/>
      <c r="AC14" s="63"/>
      <c r="AD14" s="63"/>
    </row>
    <row r="15" spans="2:30" ht="19.5" thickBot="1">
      <c r="B15" s="8" t="s">
        <v>50</v>
      </c>
      <c r="C15" s="172" t="s">
        <v>22</v>
      </c>
      <c r="D15" s="173"/>
      <c r="E15" s="173"/>
      <c r="F15" s="177"/>
      <c r="G15" s="172" t="s">
        <v>22</v>
      </c>
      <c r="H15" s="173"/>
      <c r="I15" s="173"/>
      <c r="J15" s="177"/>
      <c r="K15" s="172" t="s">
        <v>22</v>
      </c>
      <c r="L15" s="173"/>
      <c r="M15" s="173"/>
      <c r="N15" s="177"/>
      <c r="O15" s="172" t="s">
        <v>22</v>
      </c>
      <c r="P15" s="173"/>
      <c r="Q15" s="173"/>
      <c r="R15" s="177"/>
      <c r="S15" s="172" t="s">
        <v>22</v>
      </c>
      <c r="T15" s="173"/>
      <c r="U15" s="177"/>
    </row>
    <row r="16" spans="2:30">
      <c r="B16" s="76">
        <f>+ROUND(G7-G6,0)</f>
        <v>34</v>
      </c>
      <c r="C16" s="178" t="s">
        <v>31</v>
      </c>
      <c r="D16" s="179"/>
      <c r="E16" s="6"/>
      <c r="F16" s="132">
        <v>69.599999999999994</v>
      </c>
      <c r="G16" s="178" t="s">
        <v>31</v>
      </c>
      <c r="H16" s="179"/>
      <c r="I16" s="6"/>
      <c r="J16" s="132">
        <v>69.599999999999994</v>
      </c>
      <c r="K16" s="178" t="s">
        <v>31</v>
      </c>
      <c r="L16" s="179"/>
      <c r="M16" s="6"/>
      <c r="N16" s="132">
        <v>69.599999999999994</v>
      </c>
      <c r="O16" s="178" t="s">
        <v>31</v>
      </c>
      <c r="P16" s="179"/>
      <c r="Q16" s="6"/>
      <c r="R16" s="132">
        <v>69.599999999999994</v>
      </c>
      <c r="S16" s="178" t="s">
        <v>31</v>
      </c>
      <c r="T16" s="179"/>
      <c r="U16" s="107">
        <f t="shared" ref="U16:U20" si="5">F16+J16+N16+R16</f>
        <v>278.39999999999998</v>
      </c>
    </row>
    <row r="17" spans="2:21" ht="19.5" thickBot="1">
      <c r="B17" s="14" t="str">
        <f>IF(G8&gt;=0," for meget "," for lidt ")</f>
        <v xml:space="preserve"> for meget </v>
      </c>
      <c r="C17" s="170" t="s">
        <v>16</v>
      </c>
      <c r="D17" s="171"/>
      <c r="E17" s="147">
        <v>0.24440000000000001</v>
      </c>
      <c r="F17" s="98">
        <f>E17*F13</f>
        <v>127.92873600000001</v>
      </c>
      <c r="G17" s="170" t="s">
        <v>16</v>
      </c>
      <c r="H17" s="171"/>
      <c r="I17" s="147">
        <v>0.22800000000000001</v>
      </c>
      <c r="J17" s="98">
        <f>I17*J13</f>
        <v>121.53084</v>
      </c>
      <c r="K17" s="170" t="s">
        <v>16</v>
      </c>
      <c r="L17" s="171"/>
      <c r="M17" s="147">
        <v>0.28349999999999997</v>
      </c>
      <c r="N17" s="98">
        <f>M17*N13</f>
        <v>139.79384999999999</v>
      </c>
      <c r="O17" s="170" t="s">
        <v>16</v>
      </c>
      <c r="P17" s="171"/>
      <c r="Q17" s="147">
        <v>0.31530000000000002</v>
      </c>
      <c r="R17" s="98">
        <f>Q17*R13</f>
        <v>166.16310000000001</v>
      </c>
      <c r="S17" s="170" t="s">
        <v>16</v>
      </c>
      <c r="T17" s="171"/>
      <c r="U17" s="107">
        <f t="shared" si="5"/>
        <v>555.41652599999998</v>
      </c>
    </row>
    <row r="18" spans="2:21" ht="19.5" thickBot="1">
      <c r="C18" s="170" t="s">
        <v>17</v>
      </c>
      <c r="D18" s="171"/>
      <c r="E18" s="147">
        <f>-0.1081</f>
        <v>-0.1081</v>
      </c>
      <c r="F18" s="98">
        <f>E18*F13</f>
        <v>-56.583864000000005</v>
      </c>
      <c r="G18" s="170" t="s">
        <v>17</v>
      </c>
      <c r="H18" s="171"/>
      <c r="I18" s="147">
        <f>-0.1039</f>
        <v>-0.10390000000000001</v>
      </c>
      <c r="J18" s="98">
        <f>I18*J13</f>
        <v>-55.381816999999998</v>
      </c>
      <c r="K18" s="170" t="s">
        <v>17</v>
      </c>
      <c r="L18" s="171"/>
      <c r="M18" s="147">
        <f>-0.1039</f>
        <v>-0.10390000000000001</v>
      </c>
      <c r="N18" s="98">
        <f>M18*N13</f>
        <v>-51.233090000000004</v>
      </c>
      <c r="O18" s="170" t="s">
        <v>17</v>
      </c>
      <c r="P18" s="171"/>
      <c r="Q18" s="151">
        <f>-0.1039</f>
        <v>-0.10390000000000001</v>
      </c>
      <c r="R18" s="98">
        <f>Q18*R13</f>
        <v>-54.755300000000005</v>
      </c>
      <c r="S18" s="170" t="s">
        <v>17</v>
      </c>
      <c r="T18" s="171"/>
      <c r="U18" s="107">
        <f t="shared" si="5"/>
        <v>-217.95407100000003</v>
      </c>
    </row>
    <row r="19" spans="2:21">
      <c r="B19" s="8" t="s">
        <v>51</v>
      </c>
      <c r="C19" s="183" t="s">
        <v>18</v>
      </c>
      <c r="D19" s="184"/>
      <c r="E19" s="10"/>
      <c r="F19" s="148">
        <v>72.510000000000005</v>
      </c>
      <c r="G19" s="183" t="s">
        <v>18</v>
      </c>
      <c r="H19" s="184"/>
      <c r="I19" s="10"/>
      <c r="J19" s="148">
        <v>72.510000000000005</v>
      </c>
      <c r="K19" s="183" t="s">
        <v>18</v>
      </c>
      <c r="L19" s="184"/>
      <c r="M19" s="10"/>
      <c r="N19" s="148">
        <v>72.510000000000005</v>
      </c>
      <c r="O19" s="183" t="s">
        <v>18</v>
      </c>
      <c r="P19" s="184"/>
      <c r="Q19" s="10"/>
      <c r="R19" s="148">
        <v>72.510000000000005</v>
      </c>
      <c r="S19" s="183" t="s">
        <v>18</v>
      </c>
      <c r="T19" s="184"/>
      <c r="U19" s="107">
        <f t="shared" si="5"/>
        <v>290.04000000000002</v>
      </c>
    </row>
    <row r="20" spans="2:21" ht="19.5" thickBot="1">
      <c r="B20" s="76">
        <f>ROUND(K7-K6,0)</f>
        <v>81</v>
      </c>
      <c r="C20" s="175" t="s">
        <v>19</v>
      </c>
      <c r="D20" s="176"/>
      <c r="E20" s="135">
        <v>0.5</v>
      </c>
      <c r="F20" s="97">
        <f>-E20*F19</f>
        <v>-36.255000000000003</v>
      </c>
      <c r="G20" s="175" t="s">
        <v>19</v>
      </c>
      <c r="H20" s="176"/>
      <c r="I20" s="135">
        <v>0.5</v>
      </c>
      <c r="J20" s="97">
        <f>-I20*J19</f>
        <v>-36.255000000000003</v>
      </c>
      <c r="K20" s="175" t="s">
        <v>19</v>
      </c>
      <c r="L20" s="176"/>
      <c r="M20" s="135">
        <v>0.5</v>
      </c>
      <c r="N20" s="97">
        <f>-M20*N19</f>
        <v>-36.255000000000003</v>
      </c>
      <c r="O20" s="175" t="s">
        <v>19</v>
      </c>
      <c r="P20" s="176"/>
      <c r="Q20" s="135">
        <v>0.5</v>
      </c>
      <c r="R20" s="97">
        <f>-Q20*R19</f>
        <v>-36.255000000000003</v>
      </c>
      <c r="S20" s="175" t="s">
        <v>19</v>
      </c>
      <c r="T20" s="176"/>
      <c r="U20" s="107">
        <f t="shared" si="5"/>
        <v>-145.02000000000001</v>
      </c>
    </row>
    <row r="21" spans="2:21" ht="19.5" thickBot="1">
      <c r="B21" s="14" t="str">
        <f>IF(K8&gt;=0," for meget "," for lidt ")</f>
        <v xml:space="preserve"> for meget </v>
      </c>
      <c r="C21" s="172" t="s">
        <v>23</v>
      </c>
      <c r="D21" s="173"/>
      <c r="E21" s="173"/>
      <c r="F21" s="177"/>
      <c r="G21" s="172" t="s">
        <v>23</v>
      </c>
      <c r="H21" s="173"/>
      <c r="I21" s="173"/>
      <c r="J21" s="177"/>
      <c r="K21" s="172" t="s">
        <v>23</v>
      </c>
      <c r="L21" s="173"/>
      <c r="M21" s="173"/>
      <c r="N21" s="177"/>
      <c r="O21" s="172" t="s">
        <v>23</v>
      </c>
      <c r="P21" s="173"/>
      <c r="Q21" s="173"/>
      <c r="R21" s="177"/>
      <c r="S21" s="172" t="s">
        <v>23</v>
      </c>
      <c r="T21" s="173"/>
      <c r="U21" s="177"/>
    </row>
    <row r="22" spans="2:21" ht="19.5" thickBot="1">
      <c r="C22" s="178" t="s">
        <v>24</v>
      </c>
      <c r="D22" s="179"/>
      <c r="E22" s="149">
        <v>2.3E-3</v>
      </c>
      <c r="F22" s="99">
        <f>E22*331</f>
        <v>0.76129999999999998</v>
      </c>
      <c r="G22" s="178" t="s">
        <v>24</v>
      </c>
      <c r="H22" s="179"/>
      <c r="I22" s="149">
        <v>2.3E-3</v>
      </c>
      <c r="J22" s="105">
        <f>I22*J13</f>
        <v>1.2259689999999999</v>
      </c>
      <c r="K22" s="178" t="s">
        <v>24</v>
      </c>
      <c r="L22" s="179"/>
      <c r="M22" s="149">
        <v>2.3E-3</v>
      </c>
      <c r="N22" s="105">
        <f>M22*N13</f>
        <v>1.1341300000000001</v>
      </c>
      <c r="O22" s="178" t="s">
        <v>24</v>
      </c>
      <c r="P22" s="179"/>
      <c r="Q22" s="152">
        <v>2.3E-3</v>
      </c>
      <c r="R22" s="105">
        <f>Q22*R13</f>
        <v>1.2121</v>
      </c>
      <c r="S22" s="178" t="s">
        <v>24</v>
      </c>
      <c r="T22" s="179"/>
      <c r="U22" s="107">
        <f t="shared" ref="U22:U24" si="6">F22+J22+N22+R22</f>
        <v>4.3334989999999998</v>
      </c>
    </row>
    <row r="23" spans="2:21">
      <c r="B23" s="8" t="s">
        <v>52</v>
      </c>
      <c r="C23" s="170" t="s">
        <v>25</v>
      </c>
      <c r="D23" s="171"/>
      <c r="E23" s="147">
        <v>4.9000000000000002E-2</v>
      </c>
      <c r="F23" s="98">
        <f>E23*F13</f>
        <v>25.648560000000003</v>
      </c>
      <c r="G23" s="170" t="s">
        <v>25</v>
      </c>
      <c r="H23" s="171"/>
      <c r="I23" s="147">
        <v>4.9000000000000002E-2</v>
      </c>
      <c r="J23" s="98">
        <f>I23*J13</f>
        <v>26.118469999999999</v>
      </c>
      <c r="K23" s="170" t="s">
        <v>25</v>
      </c>
      <c r="L23" s="171"/>
      <c r="M23" s="147">
        <v>4.9000000000000002E-2</v>
      </c>
      <c r="N23" s="98">
        <f>M23*N13</f>
        <v>24.161900000000003</v>
      </c>
      <c r="O23" s="170" t="s">
        <v>25</v>
      </c>
      <c r="P23" s="171"/>
      <c r="Q23" s="151">
        <v>4.9000000000000002E-2</v>
      </c>
      <c r="R23" s="98">
        <f>Q23*R13</f>
        <v>25.823</v>
      </c>
      <c r="S23" s="170" t="s">
        <v>25</v>
      </c>
      <c r="T23" s="171"/>
      <c r="U23" s="107">
        <f t="shared" si="6"/>
        <v>101.75193000000002</v>
      </c>
    </row>
    <row r="24" spans="2:21" ht="19.5" thickBot="1">
      <c r="B24" s="76">
        <f>ROUND(O7-O6,0)</f>
        <v>0</v>
      </c>
      <c r="C24" s="175" t="s">
        <v>26</v>
      </c>
      <c r="D24" s="176"/>
      <c r="E24" s="150">
        <v>6.0999999999999999E-2</v>
      </c>
      <c r="F24" s="106">
        <f>E24*F13</f>
        <v>31.929840000000002</v>
      </c>
      <c r="G24" s="175" t="s">
        <v>26</v>
      </c>
      <c r="H24" s="176"/>
      <c r="I24" s="150">
        <v>6.0999999999999999E-2</v>
      </c>
      <c r="J24" s="106">
        <f>I24*J13</f>
        <v>32.514829999999996</v>
      </c>
      <c r="K24" s="175" t="s">
        <v>26</v>
      </c>
      <c r="L24" s="176"/>
      <c r="M24" s="150">
        <v>6.0999999999999999E-2</v>
      </c>
      <c r="N24" s="106">
        <f>M24*N13</f>
        <v>30.0791</v>
      </c>
      <c r="O24" s="175" t="s">
        <v>26</v>
      </c>
      <c r="P24" s="176"/>
      <c r="Q24" s="153">
        <v>6.0999999999999999E-2</v>
      </c>
      <c r="R24" s="106">
        <f>Q24*R13</f>
        <v>32.146999999999998</v>
      </c>
      <c r="S24" s="175" t="s">
        <v>26</v>
      </c>
      <c r="T24" s="176"/>
      <c r="U24" s="107">
        <f t="shared" si="6"/>
        <v>126.67077</v>
      </c>
    </row>
    <row r="25" spans="2:21" ht="19.5" thickBot="1">
      <c r="B25" s="14" t="str">
        <f>IF(O8&gt;=0," for meget "," for lidt ")</f>
        <v xml:space="preserve"> for meget </v>
      </c>
      <c r="C25" s="172" t="s">
        <v>27</v>
      </c>
      <c r="D25" s="173"/>
      <c r="E25" s="173"/>
      <c r="F25" s="177"/>
      <c r="G25" s="172" t="s">
        <v>27</v>
      </c>
      <c r="H25" s="173"/>
      <c r="I25" s="173"/>
      <c r="J25" s="177"/>
      <c r="K25" s="172" t="s">
        <v>27</v>
      </c>
      <c r="L25" s="173"/>
      <c r="M25" s="173"/>
      <c r="N25" s="177"/>
      <c r="O25" s="172" t="s">
        <v>27</v>
      </c>
      <c r="P25" s="173"/>
      <c r="Q25" s="173"/>
      <c r="R25" s="177"/>
      <c r="S25" s="172" t="s">
        <v>27</v>
      </c>
      <c r="T25" s="173"/>
      <c r="U25" s="177"/>
    </row>
    <row r="26" spans="2:21" ht="19.5" thickBot="1">
      <c r="C26" s="178" t="s">
        <v>28</v>
      </c>
      <c r="D26" s="179"/>
      <c r="E26" s="149">
        <v>0</v>
      </c>
      <c r="F26" s="105">
        <f>E26*F13</f>
        <v>0</v>
      </c>
      <c r="G26" s="178" t="s">
        <v>28</v>
      </c>
      <c r="H26" s="179"/>
      <c r="I26" s="149">
        <v>-4.3999999999999997E-2</v>
      </c>
      <c r="J26" s="96">
        <f>I26*184</f>
        <v>-8.0960000000000001</v>
      </c>
      <c r="K26" s="178" t="s">
        <v>28</v>
      </c>
      <c r="L26" s="179"/>
      <c r="M26" s="149">
        <v>0</v>
      </c>
      <c r="N26" s="105">
        <f>M26*N13</f>
        <v>0</v>
      </c>
      <c r="O26" s="178" t="s">
        <v>28</v>
      </c>
      <c r="P26" s="179"/>
      <c r="Q26" s="149">
        <v>0</v>
      </c>
      <c r="R26" s="105">
        <f>Q26*R13</f>
        <v>0</v>
      </c>
      <c r="S26" s="178" t="s">
        <v>28</v>
      </c>
      <c r="T26" s="179"/>
      <c r="U26" s="107">
        <f t="shared" ref="U26:U28" si="7">F26+J26+N26+R26</f>
        <v>-8.0960000000000001</v>
      </c>
    </row>
    <row r="27" spans="2:21">
      <c r="B27" s="8">
        <v>2022</v>
      </c>
      <c r="C27" s="170" t="s">
        <v>29</v>
      </c>
      <c r="D27" s="171"/>
      <c r="E27" s="147">
        <v>0.90300000000000002</v>
      </c>
      <c r="F27" s="98">
        <f>E27*F13</f>
        <v>472.66632000000004</v>
      </c>
      <c r="G27" s="170" t="s">
        <v>29</v>
      </c>
      <c r="H27" s="171"/>
      <c r="I27" s="147">
        <v>0.90300000000000002</v>
      </c>
      <c r="J27" s="98">
        <f>I27*J13</f>
        <v>481.32608999999997</v>
      </c>
      <c r="K27" s="170" t="s">
        <v>29</v>
      </c>
      <c r="L27" s="171"/>
      <c r="M27" s="147">
        <v>0.76300000000000001</v>
      </c>
      <c r="N27" s="98">
        <f>M27*N13</f>
        <v>376.2353</v>
      </c>
      <c r="O27" s="170" t="s">
        <v>29</v>
      </c>
      <c r="P27" s="171"/>
      <c r="Q27" s="151">
        <v>0.72299999999999998</v>
      </c>
      <c r="R27" s="98">
        <f>Q27*R13</f>
        <v>381.02100000000002</v>
      </c>
      <c r="S27" s="170" t="s">
        <v>29</v>
      </c>
      <c r="T27" s="171"/>
      <c r="U27" s="107">
        <f t="shared" si="7"/>
        <v>1711.2487100000001</v>
      </c>
    </row>
    <row r="28" spans="2:21" ht="19.5" thickBot="1">
      <c r="B28" s="76">
        <f>ROUND(U7-U6,0)</f>
        <v>152</v>
      </c>
      <c r="C28" s="175" t="s">
        <v>40</v>
      </c>
      <c r="D28" s="176"/>
      <c r="E28" s="50">
        <f>+F14+F16+F17+F18+F19+F20+F22+F23+F24+F26+F27</f>
        <v>1408.0451720000001</v>
      </c>
      <c r="F28" s="47">
        <f>E28*25%</f>
        <v>352.01129300000002</v>
      </c>
      <c r="G28" s="175" t="s">
        <v>40</v>
      </c>
      <c r="H28" s="176"/>
      <c r="I28" s="50">
        <f>+J14+J16+J17+J18+J19+J20+J22+J23+J24+J26+J27</f>
        <v>1640.9874559999998</v>
      </c>
      <c r="J28" s="47">
        <f>I28*25%</f>
        <v>410.24686399999996</v>
      </c>
      <c r="K28" s="175" t="s">
        <v>40</v>
      </c>
      <c r="L28" s="176"/>
      <c r="M28" s="50">
        <f>+N14+N16+N17+N18+N19+N20+N22+N23+N24+N26+N27</f>
        <v>1475.3416299999999</v>
      </c>
      <c r="N28" s="47">
        <f>M28*25%</f>
        <v>368.83540749999997</v>
      </c>
      <c r="O28" s="175" t="s">
        <v>40</v>
      </c>
      <c r="P28" s="176"/>
      <c r="Q28" s="50">
        <f>+R14+R16+R17+R18+R19+R20+R22+R23+R24+R26+R27</f>
        <v>2742.9630000000006</v>
      </c>
      <c r="R28" s="47">
        <f>Q28*25%</f>
        <v>685.74075000000016</v>
      </c>
      <c r="S28" s="175" t="s">
        <v>30</v>
      </c>
      <c r="T28" s="176"/>
      <c r="U28" s="107">
        <f t="shared" si="7"/>
        <v>1816.8343145000001</v>
      </c>
    </row>
    <row r="29" spans="2:21" ht="19.5" thickBot="1">
      <c r="B29" s="14" t="str">
        <f>IF(S8&gt;=0," for meget "," for lidt ")</f>
        <v xml:space="preserve"> for meget </v>
      </c>
      <c r="C29" s="172" t="str">
        <f>CONCATENATE("I alt ",Manual!$G$4)</f>
        <v>I alt Norlys Energi A/S</v>
      </c>
      <c r="D29" s="173"/>
      <c r="E29" s="174"/>
      <c r="F29" s="49">
        <f>F14+F16+F17+F18+F19+F20+F22+F23+F24+F26+F27+F28</f>
        <v>1760.0564650000001</v>
      </c>
      <c r="G29" s="172" t="str">
        <f>CONCATENATE("I alt ",Manual!$G$4)</f>
        <v>I alt Norlys Energi A/S</v>
      </c>
      <c r="H29" s="173"/>
      <c r="I29" s="174"/>
      <c r="J29" s="49">
        <f>J14+J16+J17+J18+J19+J20+J22+J23+J24+J26+J27+J28</f>
        <v>2051.2343199999996</v>
      </c>
      <c r="K29" s="172" t="str">
        <f>CONCATENATE("I alt ",Manual!$G$4)</f>
        <v>I alt Norlys Energi A/S</v>
      </c>
      <c r="L29" s="173"/>
      <c r="M29" s="174"/>
      <c r="N29" s="49">
        <f>N14+N16+N17+N18+N19+N20+N22+N23+N24+N26+N27+N28</f>
        <v>1844.1770374999999</v>
      </c>
      <c r="O29" s="172" t="str">
        <f>CONCATENATE("I alt ",Manual!$G$4)</f>
        <v>I alt Norlys Energi A/S</v>
      </c>
      <c r="P29" s="173"/>
      <c r="Q29" s="174"/>
      <c r="R29" s="49">
        <f>R14+R16+R17+R18+R19+R20+R22+R23+R24+R26+R27+R28</f>
        <v>3428.7037500000006</v>
      </c>
      <c r="S29" s="172" t="str">
        <f>CONCATENATE("I alt ",Manual!$G$4)</f>
        <v>I alt Norlys Energi A/S</v>
      </c>
      <c r="T29" s="174"/>
      <c r="U29" s="49">
        <f>U14+U16+U17+U18+U19+U20+U22+U23+U24+U26+U27+U28</f>
        <v>9084.1715724999995</v>
      </c>
    </row>
    <row r="30" spans="2:21" ht="21.75" thickBot="1">
      <c r="C30" s="165" t="str">
        <f>CONCATENATE("GENNEMSNIT PRISER PER kWh I ",B3," ER INCL. ALLE AFGIFTER MED MOMS")</f>
        <v>GENNEMSNIT PRISER PER kWh I 2024 ER INCL. ALLE AFGIFTER MED MOMS</v>
      </c>
      <c r="D30" s="164"/>
      <c r="E30" s="164"/>
      <c r="F30" s="164"/>
      <c r="G30" s="164"/>
      <c r="H30" s="164"/>
      <c r="I30" s="164"/>
      <c r="J30" s="164"/>
      <c r="K30" s="164"/>
      <c r="L30" s="164"/>
      <c r="M30" s="164"/>
      <c r="N30" s="164"/>
      <c r="O30" s="164"/>
      <c r="P30" s="164"/>
      <c r="Q30" s="164"/>
      <c r="R30" s="164"/>
      <c r="S30" s="164"/>
      <c r="T30" s="164"/>
      <c r="U30" s="166"/>
    </row>
    <row r="31" spans="2:21" ht="19.5" thickBot="1">
      <c r="C31" s="172" t="str">
        <f>CONCATENATE("Gennemsnit per kWh 1. kvartal ",$B$3)</f>
        <v>Gennemsnit per kWh 1. kvartal 2024</v>
      </c>
      <c r="D31" s="173"/>
      <c r="E31" s="173"/>
      <c r="F31" s="51">
        <f>F29/F13</f>
        <v>3.362479873528962</v>
      </c>
      <c r="G31" s="172" t="str">
        <f>CONCATENATE("Gennemsnit per kWh 2. kvartal ",$B$3)</f>
        <v>Gennemsnit per kWh 2. kvartal 2024</v>
      </c>
      <c r="H31" s="173"/>
      <c r="I31" s="173"/>
      <c r="J31" s="51">
        <f>J29/G6</f>
        <v>3.8482530439187284</v>
      </c>
      <c r="K31" s="172" t="str">
        <f>CONCATENATE("Gennemsnit per kWh 3. kvartal ",$B$3)</f>
        <v>Gennemsnit per kWh 3. kvartal 2024</v>
      </c>
      <c r="L31" s="173"/>
      <c r="M31" s="173"/>
      <c r="N31" s="51">
        <f>N29/K6</f>
        <v>3.7399656002839174</v>
      </c>
      <c r="O31" s="172" t="str">
        <f>CONCATENATE("Gennemsnit per kWh 4. kvartal ",$B$3)</f>
        <v>Gennemsnit per kWh 4. kvartal 2024</v>
      </c>
      <c r="P31" s="173"/>
      <c r="Q31" s="173"/>
      <c r="R31" s="51">
        <f>R29/O6</f>
        <v>6.5060792220113859</v>
      </c>
      <c r="S31" s="172" t="str">
        <f>CONCATENATE("EL Gennemsnit/kWh ",$B$3)</f>
        <v>EL Gennemsnit/kWh 2024</v>
      </c>
      <c r="T31" s="173"/>
      <c r="U31" s="52">
        <f>U29/U6</f>
        <v>4.3746040694510651</v>
      </c>
    </row>
    <row r="32" spans="2:21" ht="19.5" thickBot="1"/>
    <row r="33" spans="2:24" ht="21.75" thickBot="1">
      <c r="C33" s="165" t="str">
        <f>CONCATENATE("BETALINGSSERVICE ",B3," AF EL TIL ",Manual!$G$4," PER KVARTAL")</f>
        <v>BETALINGSSERVICE 2024 AF EL TIL Norlys Energi A/S PER KVARTAL</v>
      </c>
      <c r="D33" s="164"/>
      <c r="E33" s="164"/>
      <c r="F33" s="164"/>
      <c r="G33" s="164"/>
      <c r="H33" s="164"/>
      <c r="I33" s="164"/>
      <c r="J33" s="164"/>
      <c r="K33" s="164"/>
      <c r="L33" s="164"/>
      <c r="M33" s="164"/>
      <c r="N33" s="164"/>
      <c r="O33" s="164"/>
      <c r="P33" s="164"/>
      <c r="Q33" s="164"/>
      <c r="R33" s="164"/>
      <c r="S33" s="164"/>
      <c r="T33" s="164"/>
      <c r="U33" s="166"/>
      <c r="W33" s="117" t="s">
        <v>56</v>
      </c>
      <c r="X33" s="118">
        <f>+T35</f>
        <v>8871.18</v>
      </c>
    </row>
    <row r="34" spans="2:24">
      <c r="B34" s="32"/>
      <c r="C34" s="167" t="str">
        <f>+B11</f>
        <v>1. kvartal</v>
      </c>
      <c r="D34" s="168"/>
      <c r="E34" s="168"/>
      <c r="F34" s="169"/>
      <c r="G34" s="167" t="str">
        <f>+B15</f>
        <v>2. kvartal</v>
      </c>
      <c r="H34" s="168"/>
      <c r="I34" s="168"/>
      <c r="J34" s="169"/>
      <c r="K34" s="167" t="str">
        <f>+B19</f>
        <v>3. kvartal</v>
      </c>
      <c r="L34" s="168"/>
      <c r="M34" s="168"/>
      <c r="N34" s="169"/>
      <c r="O34" s="167" t="str">
        <f>+B23</f>
        <v>4. kvartal</v>
      </c>
      <c r="P34" s="168"/>
      <c r="Q34" s="168"/>
      <c r="R34" s="169"/>
      <c r="S34" s="167">
        <f>+B3</f>
        <v>2024</v>
      </c>
      <c r="T34" s="168"/>
      <c r="U34" s="169"/>
      <c r="W34" s="117" t="str">
        <f>Manual!$G$4</f>
        <v>Norlys Energi A/S</v>
      </c>
      <c r="X34" s="118">
        <f>+T37</f>
        <v>9084.1715724999995</v>
      </c>
    </row>
    <row r="35" spans="2:24" ht="19.5" thickBot="1">
      <c r="B35" s="32"/>
      <c r="C35" s="40"/>
      <c r="D35" s="154">
        <v>1657.3</v>
      </c>
      <c r="E35" s="41"/>
      <c r="F35" s="42"/>
      <c r="G35" s="40"/>
      <c r="H35" s="154">
        <v>2076.64</v>
      </c>
      <c r="I35" s="41"/>
      <c r="J35" s="42"/>
      <c r="K35" s="40"/>
      <c r="L35" s="154">
        <v>1993.96</v>
      </c>
      <c r="M35" s="41"/>
      <c r="N35" s="42"/>
      <c r="O35" s="40"/>
      <c r="P35" s="154">
        <v>3143.28</v>
      </c>
      <c r="Q35" s="41"/>
      <c r="R35" s="42"/>
      <c r="S35" s="40"/>
      <c r="T35" s="61">
        <f>SUM(C35:R35)</f>
        <v>8871.18</v>
      </c>
      <c r="U35" s="42"/>
      <c r="W35" s="117" t="str">
        <f>IF(X35&gt;=0," Betalt for meget "," Betalt for lidt ")</f>
        <v xml:space="preserve"> Betalt for lidt </v>
      </c>
      <c r="X35" s="119">
        <f>X33-X34</f>
        <v>-212.99157249999917</v>
      </c>
    </row>
    <row r="36" spans="2:24" ht="21.75" thickBot="1">
      <c r="B36" s="32"/>
      <c r="C36" s="165" t="str">
        <f>CONCATENATE("FAKTURERET I ",B3," AF ",Manual!$G$4," PER KVARTAL")</f>
        <v>FAKTURERET I 2024 AF Norlys Energi A/S PER KVARTAL</v>
      </c>
      <c r="D36" s="164"/>
      <c r="E36" s="164"/>
      <c r="F36" s="164"/>
      <c r="G36" s="164"/>
      <c r="H36" s="164"/>
      <c r="I36" s="164"/>
      <c r="J36" s="164"/>
      <c r="K36" s="164"/>
      <c r="L36" s="164"/>
      <c r="M36" s="164"/>
      <c r="N36" s="164"/>
      <c r="O36" s="164"/>
      <c r="P36" s="164"/>
      <c r="Q36" s="164"/>
      <c r="R36" s="164"/>
      <c r="S36" s="164"/>
      <c r="T36" s="164"/>
      <c r="U36" s="166"/>
      <c r="W36" s="117" t="s">
        <v>88</v>
      </c>
      <c r="X36" s="138">
        <f>+'2023'!X38</f>
        <v>-217.61660442223547</v>
      </c>
    </row>
    <row r="37" spans="2:24" ht="19.5" thickBot="1">
      <c r="B37" s="32"/>
      <c r="C37" s="67"/>
      <c r="D37" s="68">
        <f>+F29</f>
        <v>1760.0564650000001</v>
      </c>
      <c r="E37" s="69"/>
      <c r="F37" s="70"/>
      <c r="G37" s="67"/>
      <c r="H37" s="68">
        <f>+J29</f>
        <v>2051.2343199999996</v>
      </c>
      <c r="I37" s="69"/>
      <c r="J37" s="70"/>
      <c r="K37" s="67"/>
      <c r="L37" s="68">
        <f>+N29</f>
        <v>1844.1770374999999</v>
      </c>
      <c r="M37" s="69"/>
      <c r="N37" s="70"/>
      <c r="O37" s="67"/>
      <c r="P37" s="68">
        <f>+R29</f>
        <v>3428.7037500000006</v>
      </c>
      <c r="Q37" s="69"/>
      <c r="R37" s="70"/>
      <c r="S37" s="67"/>
      <c r="T37" s="68">
        <f>D37+H37+L37+P37</f>
        <v>9084.1715724999995</v>
      </c>
      <c r="U37" s="70"/>
      <c r="W37" s="120" t="s">
        <v>86</v>
      </c>
      <c r="X37" s="121">
        <f>X35+X36</f>
        <v>-430.60817692223463</v>
      </c>
    </row>
    <row r="38" spans="2:24">
      <c r="W38" s="117" t="s">
        <v>84</v>
      </c>
      <c r="X38" s="121">
        <f>+X37</f>
        <v>-430.60817692223463</v>
      </c>
    </row>
    <row r="39" spans="2:24">
      <c r="S39" s="38"/>
      <c r="T39" s="38"/>
      <c r="U39" s="38"/>
    </row>
    <row r="40" spans="2:24">
      <c r="S40" s="38"/>
      <c r="T40" s="38"/>
      <c r="U40" s="44"/>
    </row>
    <row r="41" spans="2:24">
      <c r="S41" s="38"/>
      <c r="T41" s="38"/>
      <c r="U41" s="44"/>
    </row>
    <row r="42" spans="2:24">
      <c r="S42" s="38"/>
      <c r="T42" s="38"/>
      <c r="U42" s="44"/>
    </row>
    <row r="43" spans="2:24">
      <c r="S43" s="38"/>
      <c r="T43" s="38"/>
    </row>
    <row r="44" spans="2:24">
      <c r="S44" s="33"/>
      <c r="T44" s="33"/>
      <c r="W44" s="32"/>
    </row>
    <row r="45" spans="2:24">
      <c r="W45" s="32"/>
    </row>
    <row r="46" spans="2:24">
      <c r="W46" s="32"/>
    </row>
    <row r="47" spans="2:24">
      <c r="W47" s="32"/>
    </row>
    <row r="48" spans="2:24">
      <c r="W48" s="32"/>
    </row>
    <row r="49" spans="3:23">
      <c r="W49" s="32"/>
    </row>
    <row r="50" spans="3:23">
      <c r="W50" s="32"/>
    </row>
    <row r="51" spans="3:23">
      <c r="W51" s="32"/>
    </row>
    <row r="52" spans="3:23">
      <c r="W52" s="32"/>
    </row>
    <row r="53" spans="3:23">
      <c r="W53" s="32"/>
    </row>
    <row r="54" spans="3:23">
      <c r="W54" s="32"/>
    </row>
    <row r="62" spans="3:23" ht="21">
      <c r="C62" s="74"/>
      <c r="D62" s="74"/>
      <c r="E62" s="74"/>
      <c r="F62" s="74"/>
      <c r="G62" s="74"/>
      <c r="H62" s="74"/>
      <c r="I62" s="74"/>
      <c r="J62" s="74"/>
      <c r="K62" s="74"/>
      <c r="L62" s="74"/>
      <c r="M62" s="74"/>
      <c r="N62" s="74"/>
      <c r="O62" s="74"/>
      <c r="P62" s="74"/>
      <c r="Q62" s="74"/>
      <c r="R62" s="74"/>
      <c r="S62" s="74"/>
      <c r="T62" s="74"/>
      <c r="U62" s="74"/>
    </row>
    <row r="63" spans="3:23">
      <c r="C63" s="75"/>
      <c r="D63" s="75"/>
      <c r="E63" s="75"/>
      <c r="F63" s="75"/>
      <c r="G63" s="75"/>
      <c r="H63" s="75"/>
      <c r="I63" s="75"/>
      <c r="J63" s="75"/>
      <c r="K63" s="75"/>
      <c r="L63" s="75"/>
      <c r="M63" s="75"/>
      <c r="N63" s="75"/>
      <c r="O63" s="75"/>
      <c r="P63" s="75"/>
      <c r="Q63" s="75"/>
      <c r="R63" s="75"/>
      <c r="S63" s="75"/>
      <c r="T63" s="75"/>
      <c r="U63" s="75"/>
    </row>
    <row r="64" spans="3:23">
      <c r="C64" s="72"/>
      <c r="D64" s="73"/>
      <c r="E64" s="72"/>
      <c r="F64" s="72"/>
      <c r="G64" s="72"/>
      <c r="H64" s="73"/>
      <c r="I64" s="72"/>
      <c r="J64" s="72"/>
      <c r="K64" s="72"/>
      <c r="L64" s="73"/>
      <c r="M64" s="72"/>
      <c r="N64" s="72"/>
      <c r="O64" s="72"/>
      <c r="P64" s="73"/>
      <c r="Q64" s="72"/>
      <c r="R64" s="72"/>
      <c r="S64" s="72"/>
      <c r="T64" s="73"/>
      <c r="U64" s="72"/>
    </row>
  </sheetData>
  <sheetProtection password="D5AA" sheet="1" objects="1" scenarios="1"/>
  <mergeCells count="145">
    <mergeCell ref="B1:U2"/>
    <mergeCell ref="E3:F3"/>
    <mergeCell ref="I3:J3"/>
    <mergeCell ref="M3:N3"/>
    <mergeCell ref="Q3:R3"/>
    <mergeCell ref="E4:F4"/>
    <mergeCell ref="I4:J4"/>
    <mergeCell ref="M4:N4"/>
    <mergeCell ref="Q4:R4"/>
    <mergeCell ref="S6:T6"/>
    <mergeCell ref="W6:AD6"/>
    <mergeCell ref="E7:F7"/>
    <mergeCell ref="I7:J7"/>
    <mergeCell ref="M7:N7"/>
    <mergeCell ref="Q7:R7"/>
    <mergeCell ref="S7:T7"/>
    <mergeCell ref="E5:F5"/>
    <mergeCell ref="I5:J5"/>
    <mergeCell ref="M5:N5"/>
    <mergeCell ref="Q5:R5"/>
    <mergeCell ref="E6:F6"/>
    <mergeCell ref="I6:J6"/>
    <mergeCell ref="M6:N6"/>
    <mergeCell ref="Q6:R6"/>
    <mergeCell ref="E8:F8"/>
    <mergeCell ref="I8:J8"/>
    <mergeCell ref="M8:N8"/>
    <mergeCell ref="Q8:R8"/>
    <mergeCell ref="T8:U8"/>
    <mergeCell ref="D9:F9"/>
    <mergeCell ref="H9:J9"/>
    <mergeCell ref="L9:N9"/>
    <mergeCell ref="P9:R9"/>
    <mergeCell ref="T9:U9"/>
    <mergeCell ref="C12:D12"/>
    <mergeCell ref="G12:H12"/>
    <mergeCell ref="K12:L12"/>
    <mergeCell ref="O12:P12"/>
    <mergeCell ref="S12:T12"/>
    <mergeCell ref="Y12:Z12"/>
    <mergeCell ref="W9:AD9"/>
    <mergeCell ref="C11:F11"/>
    <mergeCell ref="G11:J11"/>
    <mergeCell ref="K11:N11"/>
    <mergeCell ref="O11:R11"/>
    <mergeCell ref="S11:U11"/>
    <mergeCell ref="Y11:Z11"/>
    <mergeCell ref="C13:D13"/>
    <mergeCell ref="G13:H13"/>
    <mergeCell ref="K13:L13"/>
    <mergeCell ref="O13:P13"/>
    <mergeCell ref="S13:T13"/>
    <mergeCell ref="C14:D14"/>
    <mergeCell ref="G14:H14"/>
    <mergeCell ref="K14:L14"/>
    <mergeCell ref="O14:P14"/>
    <mergeCell ref="S14:T14"/>
    <mergeCell ref="C15:F15"/>
    <mergeCell ref="G15:J15"/>
    <mergeCell ref="K15:N15"/>
    <mergeCell ref="O15:R15"/>
    <mergeCell ref="S15:U15"/>
    <mergeCell ref="C16:D16"/>
    <mergeCell ref="G16:H16"/>
    <mergeCell ref="K16:L16"/>
    <mergeCell ref="O16:P16"/>
    <mergeCell ref="S16:T16"/>
    <mergeCell ref="C17:D17"/>
    <mergeCell ref="G17:H17"/>
    <mergeCell ref="K17:L17"/>
    <mergeCell ref="O17:P17"/>
    <mergeCell ref="S17:T17"/>
    <mergeCell ref="C18:D18"/>
    <mergeCell ref="G18:H18"/>
    <mergeCell ref="K18:L18"/>
    <mergeCell ref="O18:P18"/>
    <mergeCell ref="S18:T18"/>
    <mergeCell ref="C19:D19"/>
    <mergeCell ref="G19:H19"/>
    <mergeCell ref="K19:L19"/>
    <mergeCell ref="O19:P19"/>
    <mergeCell ref="S19:T19"/>
    <mergeCell ref="C20:D20"/>
    <mergeCell ref="G20:H20"/>
    <mergeCell ref="K20:L20"/>
    <mergeCell ref="O20:P20"/>
    <mergeCell ref="S20:T20"/>
    <mergeCell ref="C21:F21"/>
    <mergeCell ref="G21:J21"/>
    <mergeCell ref="K21:N21"/>
    <mergeCell ref="O21:R21"/>
    <mergeCell ref="S21:U21"/>
    <mergeCell ref="C22:D22"/>
    <mergeCell ref="G22:H22"/>
    <mergeCell ref="K22:L22"/>
    <mergeCell ref="O22:P22"/>
    <mergeCell ref="S22:T22"/>
    <mergeCell ref="C23:D23"/>
    <mergeCell ref="G23:H23"/>
    <mergeCell ref="K23:L23"/>
    <mergeCell ref="O23:P23"/>
    <mergeCell ref="S23:T23"/>
    <mergeCell ref="C24:D24"/>
    <mergeCell ref="G24:H24"/>
    <mergeCell ref="K24:L24"/>
    <mergeCell ref="O24:P24"/>
    <mergeCell ref="S24:T24"/>
    <mergeCell ref="C25:F25"/>
    <mergeCell ref="G25:J25"/>
    <mergeCell ref="K25:N25"/>
    <mergeCell ref="O25:R25"/>
    <mergeCell ref="S25:U25"/>
    <mergeCell ref="C26:D26"/>
    <mergeCell ref="G26:H26"/>
    <mergeCell ref="K26:L26"/>
    <mergeCell ref="O26:P26"/>
    <mergeCell ref="S26:T26"/>
    <mergeCell ref="C29:E29"/>
    <mergeCell ref="G29:I29"/>
    <mergeCell ref="K29:M29"/>
    <mergeCell ref="O29:Q29"/>
    <mergeCell ref="S29:T29"/>
    <mergeCell ref="C30:U30"/>
    <mergeCell ref="C27:D27"/>
    <mergeCell ref="G27:H27"/>
    <mergeCell ref="K27:L27"/>
    <mergeCell ref="O27:P27"/>
    <mergeCell ref="S27:T27"/>
    <mergeCell ref="C28:D28"/>
    <mergeCell ref="G28:H28"/>
    <mergeCell ref="K28:L28"/>
    <mergeCell ref="O28:P28"/>
    <mergeCell ref="S28:T28"/>
    <mergeCell ref="C34:F34"/>
    <mergeCell ref="G34:J34"/>
    <mergeCell ref="K34:N34"/>
    <mergeCell ref="O34:R34"/>
    <mergeCell ref="S34:U34"/>
    <mergeCell ref="C36:U36"/>
    <mergeCell ref="C31:E31"/>
    <mergeCell ref="G31:I31"/>
    <mergeCell ref="K31:M31"/>
    <mergeCell ref="O31:Q31"/>
    <mergeCell ref="S31:T31"/>
    <mergeCell ref="C33:U33"/>
  </mergeCells>
  <printOptions horizontalCentered="1" verticalCentered="1"/>
  <pageMargins left="0.51181102362204722" right="0" top="0" bottom="0" header="0" footer="0.31496062992125984"/>
  <pageSetup paperSize="9" scale="41" orientation="landscape" r:id="rId1"/>
  <headerFooter>
    <oddFooter>Side &amp;P&amp;RNorlys EL Forbrug.xlsx</oddFooter>
  </headerFooter>
  <ignoredErrors>
    <ignoredError sqref="E18 I18 M18 Q18 X36" unlockedFormula="1"/>
  </ignoredErrors>
  <drawing r:id="rId2"/>
</worksheet>
</file>

<file path=xl/worksheets/sheet6.xml><?xml version="1.0" encoding="utf-8"?>
<worksheet xmlns="http://schemas.openxmlformats.org/spreadsheetml/2006/main" xmlns:r="http://schemas.openxmlformats.org/officeDocument/2006/relationships">
  <sheetPr>
    <pageSetUpPr fitToPage="1"/>
  </sheetPr>
  <dimension ref="B1:AD64"/>
  <sheetViews>
    <sheetView zoomScale="80" zoomScaleNormal="80" workbookViewId="0"/>
  </sheetViews>
  <sheetFormatPr defaultRowHeight="18.75"/>
  <cols>
    <col min="1" max="1" width="2.7109375" style="1" customWidth="1"/>
    <col min="2" max="2" width="23.140625" style="1" customWidth="1"/>
    <col min="3" max="4" width="15.7109375" style="1" customWidth="1"/>
    <col min="5" max="5" width="17" style="1" customWidth="1"/>
    <col min="6" max="6" width="16.28515625" style="1" customWidth="1"/>
    <col min="7" max="8" width="15.7109375" style="1" customWidth="1"/>
    <col min="9" max="9" width="17.140625" style="1" customWidth="1"/>
    <col min="10" max="10" width="16.28515625" style="1" customWidth="1"/>
    <col min="11" max="12" width="15.7109375" style="1" customWidth="1"/>
    <col min="13" max="13" width="17.140625" style="1" customWidth="1"/>
    <col min="14" max="14" width="16.28515625" style="1" customWidth="1"/>
    <col min="15" max="16" width="15.7109375" style="1" customWidth="1"/>
    <col min="17" max="17" width="17.140625" style="1" customWidth="1"/>
    <col min="18" max="18" width="16.28515625" style="1" customWidth="1"/>
    <col min="19" max="20" width="14.7109375" style="1" customWidth="1"/>
    <col min="21" max="21" width="17.7109375" style="1" bestFit="1" customWidth="1"/>
    <col min="22" max="22" width="3.7109375" style="1" customWidth="1"/>
    <col min="23" max="23" width="51.85546875" style="1" customWidth="1"/>
    <col min="24" max="24" width="15" style="1" bestFit="1" customWidth="1"/>
    <col min="25" max="26" width="15.7109375" style="1" customWidth="1"/>
    <col min="27" max="27" width="9.85546875" style="1" bestFit="1" customWidth="1"/>
    <col min="28" max="29" width="15.7109375" style="1" customWidth="1"/>
    <col min="30" max="30" width="24.7109375" style="1" bestFit="1" customWidth="1"/>
    <col min="31" max="16384" width="9.140625" style="1"/>
  </cols>
  <sheetData>
    <row r="1" spans="2:30" ht="18.75" customHeight="1">
      <c r="B1" s="210" t="str">
        <f>CONCATENATE("EL forbrug i ",Manual!G2," fra den ",W2,X2)</f>
        <v>EL forbrug i Storegade 6, 2. sal, th. fra den 1. januar til den 31. december 2025</v>
      </c>
      <c r="C1" s="211"/>
      <c r="D1" s="211"/>
      <c r="E1" s="211"/>
      <c r="F1" s="211"/>
      <c r="G1" s="211"/>
      <c r="H1" s="211"/>
      <c r="I1" s="211"/>
      <c r="J1" s="211"/>
      <c r="K1" s="211"/>
      <c r="L1" s="211"/>
      <c r="M1" s="211"/>
      <c r="N1" s="211"/>
      <c r="O1" s="211"/>
      <c r="P1" s="211"/>
      <c r="Q1" s="211"/>
      <c r="R1" s="211"/>
      <c r="S1" s="211"/>
      <c r="T1" s="211"/>
      <c r="U1" s="212"/>
    </row>
    <row r="2" spans="2:30" ht="27" customHeight="1" thickBot="1">
      <c r="B2" s="213"/>
      <c r="C2" s="214"/>
      <c r="D2" s="214"/>
      <c r="E2" s="214"/>
      <c r="F2" s="214"/>
      <c r="G2" s="214"/>
      <c r="H2" s="214"/>
      <c r="I2" s="214"/>
      <c r="J2" s="214"/>
      <c r="K2" s="214"/>
      <c r="L2" s="214"/>
      <c r="M2" s="214"/>
      <c r="N2" s="214"/>
      <c r="O2" s="214"/>
      <c r="P2" s="214"/>
      <c r="Q2" s="214"/>
      <c r="R2" s="214"/>
      <c r="S2" s="214"/>
      <c r="T2" s="214"/>
      <c r="U2" s="215"/>
      <c r="W2" s="90" t="s">
        <v>68</v>
      </c>
      <c r="X2" s="34">
        <f>+B3</f>
        <v>2025</v>
      </c>
    </row>
    <row r="3" spans="2:30">
      <c r="B3" s="142">
        <f>'2021'!$B$3+4</f>
        <v>2025</v>
      </c>
      <c r="C3" s="77" t="s">
        <v>0</v>
      </c>
      <c r="D3" s="78" t="s">
        <v>1</v>
      </c>
      <c r="E3" s="168" t="s">
        <v>2</v>
      </c>
      <c r="F3" s="169"/>
      <c r="G3" s="5" t="s">
        <v>3</v>
      </c>
      <c r="H3" s="78" t="s">
        <v>4</v>
      </c>
      <c r="I3" s="168" t="s">
        <v>5</v>
      </c>
      <c r="J3" s="169"/>
      <c r="K3" s="77" t="s">
        <v>6</v>
      </c>
      <c r="L3" s="78" t="s">
        <v>7</v>
      </c>
      <c r="M3" s="223" t="s">
        <v>8</v>
      </c>
      <c r="N3" s="224"/>
      <c r="O3" s="5" t="s">
        <v>9</v>
      </c>
      <c r="P3" s="78" t="s">
        <v>10</v>
      </c>
      <c r="Q3" s="223" t="s">
        <v>11</v>
      </c>
      <c r="R3" s="225"/>
      <c r="S3" s="77" t="s">
        <v>12</v>
      </c>
      <c r="T3" s="78" t="s">
        <v>13</v>
      </c>
      <c r="U3" s="79" t="s">
        <v>55</v>
      </c>
    </row>
    <row r="4" spans="2:30">
      <c r="B4" s="53" t="s">
        <v>63</v>
      </c>
      <c r="C4" s="55">
        <f>C5*$F$31</f>
        <v>642.97340141620816</v>
      </c>
      <c r="D4" s="56">
        <f t="shared" ref="D4:E4" si="0">D5*$F$31</f>
        <v>529.55695528207627</v>
      </c>
      <c r="E4" s="180">
        <f t="shared" si="0"/>
        <v>587.52610830171545</v>
      </c>
      <c r="F4" s="181"/>
      <c r="G4" s="58">
        <f>G5*$J$31</f>
        <v>636.65498358591447</v>
      </c>
      <c r="H4" s="58">
        <f t="shared" ref="H4:I4" si="1">H5*$J$31</f>
        <v>706.80863657655277</v>
      </c>
      <c r="I4" s="182">
        <f t="shared" si="1"/>
        <v>707.77069983753245</v>
      </c>
      <c r="J4" s="181"/>
      <c r="K4" s="57">
        <f>K5*$N$31</f>
        <v>674.9889915392414</v>
      </c>
      <c r="L4" s="58">
        <f t="shared" ref="L4:M4" si="2">L5*$N$31</f>
        <v>596.03831771724799</v>
      </c>
      <c r="M4" s="182">
        <f t="shared" si="2"/>
        <v>573.14972824351037</v>
      </c>
      <c r="N4" s="181"/>
      <c r="O4" s="59">
        <f>O5*$R$31</f>
        <v>780.72950664136636</v>
      </c>
      <c r="P4" s="56">
        <f t="shared" ref="P4:Q4" si="3">P5*$R$31</f>
        <v>1301.2158444022771</v>
      </c>
      <c r="Q4" s="180">
        <f t="shared" si="3"/>
        <v>1346.7583989563568</v>
      </c>
      <c r="R4" s="180"/>
      <c r="S4" s="62">
        <f>S5*$U$31</f>
        <v>524.95248833412779</v>
      </c>
      <c r="T4" s="56">
        <f t="shared" ref="T4:U4" si="4">T5*$U$31</f>
        <v>905.54304237637052</v>
      </c>
      <c r="U4" s="39">
        <f t="shared" si="4"/>
        <v>715.24776535524916</v>
      </c>
    </row>
    <row r="5" spans="2:30" s="109" customFormat="1" ht="19.5" thickBot="1">
      <c r="B5" s="54" t="s">
        <v>14</v>
      </c>
      <c r="C5" s="125">
        <v>191.22</v>
      </c>
      <c r="D5" s="143">
        <v>157.49</v>
      </c>
      <c r="E5" s="192">
        <v>174.73</v>
      </c>
      <c r="F5" s="197"/>
      <c r="G5" s="128">
        <v>165.44</v>
      </c>
      <c r="H5" s="127">
        <v>183.67</v>
      </c>
      <c r="I5" s="202">
        <v>183.92</v>
      </c>
      <c r="J5" s="203"/>
      <c r="K5" s="125">
        <v>180.48</v>
      </c>
      <c r="L5" s="143">
        <v>159.37</v>
      </c>
      <c r="M5" s="192">
        <v>153.25</v>
      </c>
      <c r="N5" s="197"/>
      <c r="O5" s="128">
        <v>120</v>
      </c>
      <c r="P5" s="144">
        <v>200</v>
      </c>
      <c r="Q5" s="226">
        <v>207</v>
      </c>
      <c r="R5" s="227"/>
      <c r="S5" s="30">
        <f>MIN(C5:Q5)</f>
        <v>120</v>
      </c>
      <c r="T5" s="31">
        <f>MAX(C5:Q5)</f>
        <v>207</v>
      </c>
      <c r="U5" s="12">
        <f>AVERAGE(S5:T5)</f>
        <v>163.5</v>
      </c>
    </row>
    <row r="6" spans="2:30">
      <c r="B6" s="35" t="s">
        <v>61</v>
      </c>
      <c r="C6" s="95">
        <f>C5+D5+E5</f>
        <v>523.44000000000005</v>
      </c>
      <c r="D6" s="85" t="s">
        <v>21</v>
      </c>
      <c r="E6" s="185" t="s">
        <v>42</v>
      </c>
      <c r="F6" s="186"/>
      <c r="G6" s="21">
        <f>G5+H5+I5</f>
        <v>533.03</v>
      </c>
      <c r="H6" s="85" t="s">
        <v>21</v>
      </c>
      <c r="I6" s="195" t="s">
        <v>42</v>
      </c>
      <c r="J6" s="198"/>
      <c r="K6" s="22">
        <f>K5+L5+M5</f>
        <v>493.1</v>
      </c>
      <c r="L6" s="85" t="s">
        <v>21</v>
      </c>
      <c r="M6" s="194" t="s">
        <v>42</v>
      </c>
      <c r="N6" s="198"/>
      <c r="O6" s="21">
        <f>O5+P5+Q5</f>
        <v>527</v>
      </c>
      <c r="P6" s="85" t="s">
        <v>21</v>
      </c>
      <c r="Q6" s="194" t="s">
        <v>42</v>
      </c>
      <c r="R6" s="194"/>
      <c r="S6" s="204" t="s">
        <v>42</v>
      </c>
      <c r="T6" s="205"/>
      <c r="U6" s="29">
        <f>C6+G6+K6+O6</f>
        <v>2076.5700000000002</v>
      </c>
      <c r="W6" s="209" t="s">
        <v>73</v>
      </c>
      <c r="X6" s="209"/>
      <c r="Y6" s="209"/>
      <c r="Z6" s="209"/>
      <c r="AA6" s="209"/>
      <c r="AB6" s="209"/>
      <c r="AC6" s="209"/>
      <c r="AD6" s="209"/>
    </row>
    <row r="7" spans="2:30">
      <c r="B7" s="35" t="s">
        <v>59</v>
      </c>
      <c r="C7" s="129">
        <v>561</v>
      </c>
      <c r="D7" s="85" t="s">
        <v>21</v>
      </c>
      <c r="E7" s="185" t="s">
        <v>41</v>
      </c>
      <c r="F7" s="186"/>
      <c r="G7" s="145">
        <v>567</v>
      </c>
      <c r="H7" s="85" t="s">
        <v>21</v>
      </c>
      <c r="I7" s="185" t="s">
        <v>41</v>
      </c>
      <c r="J7" s="186"/>
      <c r="K7" s="129">
        <v>574</v>
      </c>
      <c r="L7" s="85" t="s">
        <v>21</v>
      </c>
      <c r="M7" s="185" t="s">
        <v>41</v>
      </c>
      <c r="N7" s="186"/>
      <c r="O7" s="130">
        <v>527</v>
      </c>
      <c r="P7" s="85" t="s">
        <v>21</v>
      </c>
      <c r="Q7" s="185" t="s">
        <v>41</v>
      </c>
      <c r="R7" s="195"/>
      <c r="S7" s="199" t="s">
        <v>41</v>
      </c>
      <c r="T7" s="185"/>
      <c r="U7" s="84">
        <f>C7+G7+K7+O7</f>
        <v>2229</v>
      </c>
      <c r="W7" s="2" t="s">
        <v>89</v>
      </c>
    </row>
    <row r="8" spans="2:30" ht="19.5" thickBot="1">
      <c r="B8" s="35" t="s">
        <v>57</v>
      </c>
      <c r="C8" s="102">
        <f>+ROUND(B12,0)</f>
        <v>38</v>
      </c>
      <c r="D8" s="82" t="s">
        <v>48</v>
      </c>
      <c r="E8" s="221" t="str">
        <f>CONCATENATE(C8,D8,B13,"a'conto")</f>
        <v>38 kWh for meget a'conto</v>
      </c>
      <c r="F8" s="222"/>
      <c r="G8" s="103">
        <f>+ROUND(B16,0)</f>
        <v>34</v>
      </c>
      <c r="H8" s="82" t="s">
        <v>48</v>
      </c>
      <c r="I8" s="221" t="str">
        <f>CONCATENATE(G8,H8,B17,"a'conto")</f>
        <v>34 kWh for meget a'conto</v>
      </c>
      <c r="J8" s="222"/>
      <c r="K8" s="102">
        <f>+ROUND(B20,0)</f>
        <v>81</v>
      </c>
      <c r="L8" s="82" t="s">
        <v>48</v>
      </c>
      <c r="M8" s="221" t="str">
        <f>CONCATENATE(K8,L8,B21,"a'conto")</f>
        <v>81 kWh for meget a'conto</v>
      </c>
      <c r="N8" s="222"/>
      <c r="O8" s="104">
        <f>+ROUND(B24,0)</f>
        <v>0</v>
      </c>
      <c r="P8" s="82" t="s">
        <v>48</v>
      </c>
      <c r="Q8" s="221" t="str">
        <f>CONCATENATE(O8,P8,B25,"a'conto")</f>
        <v>0 kWh for meget a'conto</v>
      </c>
      <c r="R8" s="187"/>
      <c r="S8" s="102">
        <f>+ROUND(B28,0)</f>
        <v>152</v>
      </c>
      <c r="T8" s="221" t="str">
        <f>CONCATENATE(S8,P8,B29,"a'conto")</f>
        <v>152 kWh for meget a'conto</v>
      </c>
      <c r="U8" s="222"/>
      <c r="W8" s="81" t="s">
        <v>43</v>
      </c>
      <c r="X8" s="140">
        <v>1600</v>
      </c>
      <c r="Y8" s="109" t="s">
        <v>44</v>
      </c>
      <c r="Z8" s="109" t="s">
        <v>45</v>
      </c>
      <c r="AA8" s="141">
        <v>2.4</v>
      </c>
      <c r="AB8" s="109" t="s">
        <v>46</v>
      </c>
      <c r="AC8" s="110">
        <f>X8*AA8</f>
        <v>3840</v>
      </c>
      <c r="AD8" s="81" t="s">
        <v>47</v>
      </c>
    </row>
    <row r="9" spans="2:30" ht="19.5" thickBot="1">
      <c r="B9" s="36" t="s">
        <v>60</v>
      </c>
      <c r="C9" s="37">
        <f>C8*F31</f>
        <v>127.77423519410056</v>
      </c>
      <c r="D9" s="187" t="str">
        <f>IF(C8&gt;=0," Betalt for meget, sænk skønnet forbrug "," Betalt for lidt, hæv skønnet forbrug ")</f>
        <v xml:space="preserve"> Betalt for meget, sænk skønnet forbrug </v>
      </c>
      <c r="E9" s="188"/>
      <c r="F9" s="189"/>
      <c r="G9" s="37">
        <f>G8*J31</f>
        <v>130.84060349323676</v>
      </c>
      <c r="H9" s="187" t="str">
        <f>IF(G8&gt;=0," Betalt for meget, sænk skønnet forbrug "," Betalt for lidt, hæv skønnet forbrug ")</f>
        <v xml:space="preserve"> Betalt for meget, sænk skønnet forbrug </v>
      </c>
      <c r="I9" s="188"/>
      <c r="J9" s="189"/>
      <c r="K9" s="37">
        <f>K8*N31</f>
        <v>302.93721362299732</v>
      </c>
      <c r="L9" s="187" t="str">
        <f>IF(K8&gt;=0," Betalt for meget, sænk skønnet forbrug "," Betalt for lidt, hæv skønnet forbrug ")</f>
        <v xml:space="preserve"> Betalt for meget, sænk skønnet forbrug </v>
      </c>
      <c r="M9" s="188"/>
      <c r="N9" s="189"/>
      <c r="O9" s="37">
        <f>O8*R31</f>
        <v>0</v>
      </c>
      <c r="P9" s="187" t="str">
        <f>IF(O8&gt;=0," Betalt for meget, sænk skønnet forbrug "," Betalt for lidt, hæv skønnet forbrug ")</f>
        <v xml:space="preserve"> Betalt for meget, sænk skønnet forbrug </v>
      </c>
      <c r="Q9" s="188"/>
      <c r="R9" s="189"/>
      <c r="S9" s="37">
        <f>C9+G9+K9+O9</f>
        <v>561.5520523103346</v>
      </c>
      <c r="T9" s="188" t="str">
        <f>IF(S8&gt;=0," Betalt for meget i 2022 "," Betalt for lidt i 2022 ")</f>
        <v xml:space="preserve"> Betalt for meget i 2022 </v>
      </c>
      <c r="U9" s="189"/>
      <c r="W9" s="220" t="s">
        <v>93</v>
      </c>
      <c r="X9" s="220"/>
      <c r="Y9" s="220"/>
      <c r="Z9" s="220"/>
      <c r="AA9" s="220"/>
      <c r="AB9" s="220"/>
      <c r="AC9" s="220"/>
      <c r="AD9" s="220"/>
    </row>
    <row r="10" spans="2:30" ht="19.5" thickBot="1">
      <c r="W10" s="139">
        <v>2</v>
      </c>
      <c r="X10" s="13">
        <f>U6</f>
        <v>2076.5700000000002</v>
      </c>
      <c r="Y10" s="109" t="s">
        <v>44</v>
      </c>
      <c r="Z10" s="109" t="s">
        <v>45</v>
      </c>
      <c r="AA10" s="50">
        <f>U31</f>
        <v>4.3746040694510651</v>
      </c>
      <c r="AB10" s="109" t="s">
        <v>46</v>
      </c>
      <c r="AC10" s="110">
        <f>X10*AA10</f>
        <v>9084.1715724999995</v>
      </c>
      <c r="AD10" s="81"/>
    </row>
    <row r="11" spans="2:30" ht="19.5" thickBot="1">
      <c r="B11" s="8" t="s">
        <v>49</v>
      </c>
      <c r="C11" s="172" t="s">
        <v>34</v>
      </c>
      <c r="D11" s="173"/>
      <c r="E11" s="173"/>
      <c r="F11" s="177"/>
      <c r="G11" s="172" t="s">
        <v>32</v>
      </c>
      <c r="H11" s="173"/>
      <c r="I11" s="173"/>
      <c r="J11" s="177"/>
      <c r="K11" s="172" t="s">
        <v>35</v>
      </c>
      <c r="L11" s="173"/>
      <c r="M11" s="173"/>
      <c r="N11" s="177"/>
      <c r="O11" s="172" t="s">
        <v>36</v>
      </c>
      <c r="P11" s="173"/>
      <c r="Q11" s="173"/>
      <c r="R11" s="177"/>
      <c r="S11" s="172" t="s">
        <v>33</v>
      </c>
      <c r="T11" s="173"/>
      <c r="U11" s="177"/>
      <c r="W11" s="108" t="s">
        <v>62</v>
      </c>
      <c r="X11" s="109">
        <f>+W10</f>
        <v>2</v>
      </c>
      <c r="Y11" s="208" t="s">
        <v>70</v>
      </c>
      <c r="Z11" s="208"/>
      <c r="AA11" s="13">
        <f>+X10</f>
        <v>2076.5700000000002</v>
      </c>
      <c r="AB11" s="109" t="s">
        <v>44</v>
      </c>
      <c r="AC11" s="111">
        <f>+AC10</f>
        <v>9084.1715724999995</v>
      </c>
      <c r="AD11" s="1" t="s">
        <v>71</v>
      </c>
    </row>
    <row r="12" spans="2:30">
      <c r="B12" s="76">
        <f>ROUND(C7-C6,0)</f>
        <v>38</v>
      </c>
      <c r="C12" s="178" t="s">
        <v>15</v>
      </c>
      <c r="D12" s="179"/>
      <c r="E12" s="146">
        <v>1.337</v>
      </c>
      <c r="F12" s="7"/>
      <c r="G12" s="178" t="s">
        <v>15</v>
      </c>
      <c r="H12" s="179"/>
      <c r="I12" s="146">
        <v>1.7558</v>
      </c>
      <c r="J12" s="7"/>
      <c r="K12" s="178" t="s">
        <v>15</v>
      </c>
      <c r="L12" s="179"/>
      <c r="M12" s="146">
        <v>1.7223999999999999</v>
      </c>
      <c r="N12" s="7"/>
      <c r="O12" s="178" t="s">
        <v>15</v>
      </c>
      <c r="P12" s="179"/>
      <c r="Q12" s="146">
        <v>3.9573</v>
      </c>
      <c r="R12" s="7"/>
      <c r="S12" s="206" t="s">
        <v>54</v>
      </c>
      <c r="T12" s="207"/>
      <c r="U12" s="23">
        <f>U14/U13</f>
        <v>2.2010073794767329</v>
      </c>
      <c r="X12" s="109">
        <v>1</v>
      </c>
      <c r="Y12" s="208" t="s">
        <v>72</v>
      </c>
      <c r="Z12" s="208"/>
      <c r="AA12" s="13">
        <f>AA11/X11</f>
        <v>1038.2850000000001</v>
      </c>
      <c r="AB12" s="109" t="s">
        <v>44</v>
      </c>
      <c r="AC12" s="111">
        <f>AC11/X11</f>
        <v>4542.0857862499997</v>
      </c>
      <c r="AD12" s="1" t="s">
        <v>71</v>
      </c>
    </row>
    <row r="13" spans="2:30" ht="19.5" thickBot="1">
      <c r="B13" s="14" t="str">
        <f>IF(C8&gt;=0," for meget "," for lidt ")</f>
        <v xml:space="preserve"> for meget </v>
      </c>
      <c r="C13" s="170" t="s">
        <v>37</v>
      </c>
      <c r="D13" s="171"/>
      <c r="E13" s="109" t="s">
        <v>21</v>
      </c>
      <c r="F13" s="83">
        <f>+C6</f>
        <v>523.44000000000005</v>
      </c>
      <c r="G13" s="170" t="s">
        <v>20</v>
      </c>
      <c r="H13" s="171"/>
      <c r="I13" s="109" t="s">
        <v>21</v>
      </c>
      <c r="J13" s="83">
        <f>G6</f>
        <v>533.03</v>
      </c>
      <c r="K13" s="170" t="s">
        <v>38</v>
      </c>
      <c r="L13" s="171"/>
      <c r="M13" s="109" t="s">
        <v>21</v>
      </c>
      <c r="N13" s="83">
        <f>K6</f>
        <v>493.1</v>
      </c>
      <c r="O13" s="170" t="s">
        <v>39</v>
      </c>
      <c r="P13" s="171"/>
      <c r="Q13" s="109" t="s">
        <v>21</v>
      </c>
      <c r="R13" s="83">
        <f>O6</f>
        <v>527</v>
      </c>
      <c r="S13" s="170" t="s">
        <v>53</v>
      </c>
      <c r="T13" s="171"/>
      <c r="U13" s="84">
        <f>F13+J13+N13+R13</f>
        <v>2076.5700000000002</v>
      </c>
      <c r="W13" s="114" t="s">
        <v>75</v>
      </c>
      <c r="X13" s="112"/>
      <c r="Y13" s="112"/>
      <c r="Z13" s="113"/>
      <c r="AA13" s="113"/>
      <c r="AB13" s="116" t="str">
        <f>IF(AC13&gt;=0," mere ","mindre ")</f>
        <v xml:space="preserve"> mere </v>
      </c>
      <c r="AC13" s="115">
        <f>AC12-AC8</f>
        <v>702.08578624999973</v>
      </c>
      <c r="AD13" s="113" t="s">
        <v>71</v>
      </c>
    </row>
    <row r="14" spans="2:30" ht="19.5" thickBot="1">
      <c r="C14" s="175" t="s">
        <v>69</v>
      </c>
      <c r="D14" s="176"/>
      <c r="E14" s="9"/>
      <c r="F14" s="45">
        <f>E12*F13</f>
        <v>699.83928000000003</v>
      </c>
      <c r="G14" s="175" t="s">
        <v>69</v>
      </c>
      <c r="H14" s="176"/>
      <c r="I14" s="9"/>
      <c r="J14" s="45">
        <f>I12*J13</f>
        <v>935.89407399999993</v>
      </c>
      <c r="K14" s="175" t="s">
        <v>69</v>
      </c>
      <c r="L14" s="176"/>
      <c r="M14" s="9"/>
      <c r="N14" s="45">
        <f>M12*N13</f>
        <v>849.31543999999997</v>
      </c>
      <c r="O14" s="175" t="s">
        <v>69</v>
      </c>
      <c r="P14" s="176"/>
      <c r="Q14" s="9"/>
      <c r="R14" s="45">
        <f>Q12*R13</f>
        <v>2085.4971</v>
      </c>
      <c r="S14" s="175" t="s">
        <v>69</v>
      </c>
      <c r="T14" s="176"/>
      <c r="U14" s="46">
        <f>F14+J14+N14+R14</f>
        <v>4570.5458939999999</v>
      </c>
      <c r="W14" s="63"/>
      <c r="X14" s="63"/>
      <c r="Y14" s="63"/>
      <c r="Z14" s="63"/>
      <c r="AA14" s="63"/>
      <c r="AB14" s="63"/>
      <c r="AC14" s="63"/>
      <c r="AD14" s="63"/>
    </row>
    <row r="15" spans="2:30" ht="19.5" thickBot="1">
      <c r="B15" s="8" t="s">
        <v>50</v>
      </c>
      <c r="C15" s="172" t="s">
        <v>22</v>
      </c>
      <c r="D15" s="173"/>
      <c r="E15" s="173"/>
      <c r="F15" s="177"/>
      <c r="G15" s="172" t="s">
        <v>22</v>
      </c>
      <c r="H15" s="173"/>
      <c r="I15" s="173"/>
      <c r="J15" s="177"/>
      <c r="K15" s="172" t="s">
        <v>22</v>
      </c>
      <c r="L15" s="173"/>
      <c r="M15" s="173"/>
      <c r="N15" s="177"/>
      <c r="O15" s="172" t="s">
        <v>22</v>
      </c>
      <c r="P15" s="173"/>
      <c r="Q15" s="173"/>
      <c r="R15" s="177"/>
      <c r="S15" s="172" t="s">
        <v>22</v>
      </c>
      <c r="T15" s="173"/>
      <c r="U15" s="177"/>
    </row>
    <row r="16" spans="2:30">
      <c r="B16" s="76">
        <f>+ROUND(G7-G6,0)</f>
        <v>34</v>
      </c>
      <c r="C16" s="178" t="s">
        <v>31</v>
      </c>
      <c r="D16" s="179"/>
      <c r="E16" s="6"/>
      <c r="F16" s="132">
        <v>69.599999999999994</v>
      </c>
      <c r="G16" s="178" t="s">
        <v>31</v>
      </c>
      <c r="H16" s="179"/>
      <c r="I16" s="6"/>
      <c r="J16" s="132">
        <v>69.599999999999994</v>
      </c>
      <c r="K16" s="178" t="s">
        <v>31</v>
      </c>
      <c r="L16" s="179"/>
      <c r="M16" s="6"/>
      <c r="N16" s="132">
        <v>69.599999999999994</v>
      </c>
      <c r="O16" s="178" t="s">
        <v>31</v>
      </c>
      <c r="P16" s="179"/>
      <c r="Q16" s="6"/>
      <c r="R16" s="132">
        <v>69.599999999999994</v>
      </c>
      <c r="S16" s="178" t="s">
        <v>31</v>
      </c>
      <c r="T16" s="179"/>
      <c r="U16" s="107">
        <f t="shared" ref="U16:U20" si="5">F16+J16+N16+R16</f>
        <v>278.39999999999998</v>
      </c>
    </row>
    <row r="17" spans="2:21" ht="19.5" thickBot="1">
      <c r="B17" s="14" t="str">
        <f>IF(G8&gt;=0," for meget "," for lidt ")</f>
        <v xml:space="preserve"> for meget </v>
      </c>
      <c r="C17" s="170" t="s">
        <v>16</v>
      </c>
      <c r="D17" s="171"/>
      <c r="E17" s="147">
        <v>0.24440000000000001</v>
      </c>
      <c r="F17" s="98">
        <f>E17*F13</f>
        <v>127.92873600000001</v>
      </c>
      <c r="G17" s="170" t="s">
        <v>16</v>
      </c>
      <c r="H17" s="171"/>
      <c r="I17" s="147">
        <v>0.22800000000000001</v>
      </c>
      <c r="J17" s="98">
        <f>I17*J13</f>
        <v>121.53084</v>
      </c>
      <c r="K17" s="170" t="s">
        <v>16</v>
      </c>
      <c r="L17" s="171"/>
      <c r="M17" s="147">
        <v>0.28349999999999997</v>
      </c>
      <c r="N17" s="98">
        <f>M17*N13</f>
        <v>139.79384999999999</v>
      </c>
      <c r="O17" s="170" t="s">
        <v>16</v>
      </c>
      <c r="P17" s="171"/>
      <c r="Q17" s="147">
        <v>0.31530000000000002</v>
      </c>
      <c r="R17" s="98">
        <f>Q17*R13</f>
        <v>166.16310000000001</v>
      </c>
      <c r="S17" s="170" t="s">
        <v>16</v>
      </c>
      <c r="T17" s="171"/>
      <c r="U17" s="107">
        <f t="shared" si="5"/>
        <v>555.41652599999998</v>
      </c>
    </row>
    <row r="18" spans="2:21" ht="19.5" thickBot="1">
      <c r="C18" s="170" t="s">
        <v>17</v>
      </c>
      <c r="D18" s="171"/>
      <c r="E18" s="147">
        <f>-0.1081</f>
        <v>-0.1081</v>
      </c>
      <c r="F18" s="98">
        <f>E18*F13</f>
        <v>-56.583864000000005</v>
      </c>
      <c r="G18" s="170" t="s">
        <v>17</v>
      </c>
      <c r="H18" s="171"/>
      <c r="I18" s="147">
        <f>-0.1039</f>
        <v>-0.10390000000000001</v>
      </c>
      <c r="J18" s="98">
        <f>I18*J13</f>
        <v>-55.381816999999998</v>
      </c>
      <c r="K18" s="170" t="s">
        <v>17</v>
      </c>
      <c r="L18" s="171"/>
      <c r="M18" s="147">
        <f>-0.1039</f>
        <v>-0.10390000000000001</v>
      </c>
      <c r="N18" s="98">
        <f>M18*N13</f>
        <v>-51.233090000000004</v>
      </c>
      <c r="O18" s="170" t="s">
        <v>17</v>
      </c>
      <c r="P18" s="171"/>
      <c r="Q18" s="151">
        <f>-0.1039</f>
        <v>-0.10390000000000001</v>
      </c>
      <c r="R18" s="98">
        <f>Q18*R13</f>
        <v>-54.755300000000005</v>
      </c>
      <c r="S18" s="170" t="s">
        <v>17</v>
      </c>
      <c r="T18" s="171"/>
      <c r="U18" s="107">
        <f t="shared" si="5"/>
        <v>-217.95407100000003</v>
      </c>
    </row>
    <row r="19" spans="2:21">
      <c r="B19" s="8" t="s">
        <v>51</v>
      </c>
      <c r="C19" s="183" t="s">
        <v>18</v>
      </c>
      <c r="D19" s="184"/>
      <c r="E19" s="10"/>
      <c r="F19" s="148">
        <v>72.510000000000005</v>
      </c>
      <c r="G19" s="183" t="s">
        <v>18</v>
      </c>
      <c r="H19" s="184"/>
      <c r="I19" s="10"/>
      <c r="J19" s="148">
        <v>72.510000000000005</v>
      </c>
      <c r="K19" s="183" t="s">
        <v>18</v>
      </c>
      <c r="L19" s="184"/>
      <c r="M19" s="10"/>
      <c r="N19" s="148">
        <v>72.510000000000005</v>
      </c>
      <c r="O19" s="183" t="s">
        <v>18</v>
      </c>
      <c r="P19" s="184"/>
      <c r="Q19" s="10"/>
      <c r="R19" s="148">
        <v>72.510000000000005</v>
      </c>
      <c r="S19" s="183" t="s">
        <v>18</v>
      </c>
      <c r="T19" s="184"/>
      <c r="U19" s="107">
        <f t="shared" si="5"/>
        <v>290.04000000000002</v>
      </c>
    </row>
    <row r="20" spans="2:21" ht="19.5" thickBot="1">
      <c r="B20" s="76">
        <f>ROUND(K7-K6,0)</f>
        <v>81</v>
      </c>
      <c r="C20" s="175" t="s">
        <v>19</v>
      </c>
      <c r="D20" s="176"/>
      <c r="E20" s="135">
        <v>0.5</v>
      </c>
      <c r="F20" s="97">
        <f>-E20*F19</f>
        <v>-36.255000000000003</v>
      </c>
      <c r="G20" s="175" t="s">
        <v>19</v>
      </c>
      <c r="H20" s="176"/>
      <c r="I20" s="135">
        <v>0.5</v>
      </c>
      <c r="J20" s="97">
        <f>-I20*J19</f>
        <v>-36.255000000000003</v>
      </c>
      <c r="K20" s="175" t="s">
        <v>19</v>
      </c>
      <c r="L20" s="176"/>
      <c r="M20" s="135">
        <v>0.5</v>
      </c>
      <c r="N20" s="97">
        <f>-M20*N19</f>
        <v>-36.255000000000003</v>
      </c>
      <c r="O20" s="175" t="s">
        <v>19</v>
      </c>
      <c r="P20" s="176"/>
      <c r="Q20" s="135">
        <v>0.5</v>
      </c>
      <c r="R20" s="97">
        <f>-Q20*R19</f>
        <v>-36.255000000000003</v>
      </c>
      <c r="S20" s="175" t="s">
        <v>19</v>
      </c>
      <c r="T20" s="176"/>
      <c r="U20" s="107">
        <f t="shared" si="5"/>
        <v>-145.02000000000001</v>
      </c>
    </row>
    <row r="21" spans="2:21" ht="19.5" thickBot="1">
      <c r="B21" s="14" t="str">
        <f>IF(K8&gt;=0," for meget "," for lidt ")</f>
        <v xml:space="preserve"> for meget </v>
      </c>
      <c r="C21" s="172" t="s">
        <v>23</v>
      </c>
      <c r="D21" s="173"/>
      <c r="E21" s="173"/>
      <c r="F21" s="177"/>
      <c r="G21" s="172" t="s">
        <v>23</v>
      </c>
      <c r="H21" s="173"/>
      <c r="I21" s="173"/>
      <c r="J21" s="177"/>
      <c r="K21" s="172" t="s">
        <v>23</v>
      </c>
      <c r="L21" s="173"/>
      <c r="M21" s="173"/>
      <c r="N21" s="177"/>
      <c r="O21" s="172" t="s">
        <v>23</v>
      </c>
      <c r="P21" s="173"/>
      <c r="Q21" s="173"/>
      <c r="R21" s="177"/>
      <c r="S21" s="172" t="s">
        <v>23</v>
      </c>
      <c r="T21" s="173"/>
      <c r="U21" s="177"/>
    </row>
    <row r="22" spans="2:21" ht="19.5" thickBot="1">
      <c r="C22" s="178" t="s">
        <v>24</v>
      </c>
      <c r="D22" s="179"/>
      <c r="E22" s="149">
        <v>2.3E-3</v>
      </c>
      <c r="F22" s="99">
        <f>E22*331</f>
        <v>0.76129999999999998</v>
      </c>
      <c r="G22" s="178" t="s">
        <v>24</v>
      </c>
      <c r="H22" s="179"/>
      <c r="I22" s="149">
        <v>2.3E-3</v>
      </c>
      <c r="J22" s="105">
        <f>I22*J13</f>
        <v>1.2259689999999999</v>
      </c>
      <c r="K22" s="178" t="s">
        <v>24</v>
      </c>
      <c r="L22" s="179"/>
      <c r="M22" s="149">
        <v>2.3E-3</v>
      </c>
      <c r="N22" s="105">
        <f>M22*N13</f>
        <v>1.1341300000000001</v>
      </c>
      <c r="O22" s="178" t="s">
        <v>24</v>
      </c>
      <c r="P22" s="179"/>
      <c r="Q22" s="152">
        <v>2.3E-3</v>
      </c>
      <c r="R22" s="105">
        <f>Q22*R13</f>
        <v>1.2121</v>
      </c>
      <c r="S22" s="178" t="s">
        <v>24</v>
      </c>
      <c r="T22" s="179"/>
      <c r="U22" s="107">
        <f t="shared" ref="U22:U24" si="6">F22+J22+N22+R22</f>
        <v>4.3334989999999998</v>
      </c>
    </row>
    <row r="23" spans="2:21">
      <c r="B23" s="8" t="s">
        <v>52</v>
      </c>
      <c r="C23" s="170" t="s">
        <v>25</v>
      </c>
      <c r="D23" s="171"/>
      <c r="E23" s="147">
        <v>4.9000000000000002E-2</v>
      </c>
      <c r="F23" s="98">
        <f>E23*F13</f>
        <v>25.648560000000003</v>
      </c>
      <c r="G23" s="170" t="s">
        <v>25</v>
      </c>
      <c r="H23" s="171"/>
      <c r="I23" s="147">
        <v>4.9000000000000002E-2</v>
      </c>
      <c r="J23" s="98">
        <f>I23*J13</f>
        <v>26.118469999999999</v>
      </c>
      <c r="K23" s="170" t="s">
        <v>25</v>
      </c>
      <c r="L23" s="171"/>
      <c r="M23" s="147">
        <v>4.9000000000000002E-2</v>
      </c>
      <c r="N23" s="98">
        <f>M23*N13</f>
        <v>24.161900000000003</v>
      </c>
      <c r="O23" s="170" t="s">
        <v>25</v>
      </c>
      <c r="P23" s="171"/>
      <c r="Q23" s="151">
        <v>4.9000000000000002E-2</v>
      </c>
      <c r="R23" s="98">
        <f>Q23*R13</f>
        <v>25.823</v>
      </c>
      <c r="S23" s="170" t="s">
        <v>25</v>
      </c>
      <c r="T23" s="171"/>
      <c r="U23" s="107">
        <f t="shared" si="6"/>
        <v>101.75193000000002</v>
      </c>
    </row>
    <row r="24" spans="2:21" ht="19.5" thickBot="1">
      <c r="B24" s="76">
        <f>ROUND(O7-O6,0)</f>
        <v>0</v>
      </c>
      <c r="C24" s="175" t="s">
        <v>26</v>
      </c>
      <c r="D24" s="176"/>
      <c r="E24" s="150">
        <v>6.0999999999999999E-2</v>
      </c>
      <c r="F24" s="106">
        <f>E24*F13</f>
        <v>31.929840000000002</v>
      </c>
      <c r="G24" s="175" t="s">
        <v>26</v>
      </c>
      <c r="H24" s="176"/>
      <c r="I24" s="150">
        <v>6.0999999999999999E-2</v>
      </c>
      <c r="J24" s="106">
        <f>I24*J13</f>
        <v>32.514829999999996</v>
      </c>
      <c r="K24" s="175" t="s">
        <v>26</v>
      </c>
      <c r="L24" s="176"/>
      <c r="M24" s="150">
        <v>6.0999999999999999E-2</v>
      </c>
      <c r="N24" s="106">
        <f>M24*N13</f>
        <v>30.0791</v>
      </c>
      <c r="O24" s="175" t="s">
        <v>26</v>
      </c>
      <c r="P24" s="176"/>
      <c r="Q24" s="153">
        <v>6.0999999999999999E-2</v>
      </c>
      <c r="R24" s="106">
        <f>Q24*R13</f>
        <v>32.146999999999998</v>
      </c>
      <c r="S24" s="175" t="s">
        <v>26</v>
      </c>
      <c r="T24" s="176"/>
      <c r="U24" s="107">
        <f t="shared" si="6"/>
        <v>126.67077</v>
      </c>
    </row>
    <row r="25" spans="2:21" ht="19.5" thickBot="1">
      <c r="B25" s="14" t="str">
        <f>IF(O8&gt;=0," for meget "," for lidt ")</f>
        <v xml:space="preserve"> for meget </v>
      </c>
      <c r="C25" s="172" t="s">
        <v>27</v>
      </c>
      <c r="D25" s="173"/>
      <c r="E25" s="173"/>
      <c r="F25" s="177"/>
      <c r="G25" s="172" t="s">
        <v>27</v>
      </c>
      <c r="H25" s="173"/>
      <c r="I25" s="173"/>
      <c r="J25" s="177"/>
      <c r="K25" s="172" t="s">
        <v>27</v>
      </c>
      <c r="L25" s="173"/>
      <c r="M25" s="173"/>
      <c r="N25" s="177"/>
      <c r="O25" s="172" t="s">
        <v>27</v>
      </c>
      <c r="P25" s="173"/>
      <c r="Q25" s="173"/>
      <c r="R25" s="177"/>
      <c r="S25" s="172" t="s">
        <v>27</v>
      </c>
      <c r="T25" s="173"/>
      <c r="U25" s="177"/>
    </row>
    <row r="26" spans="2:21" ht="19.5" thickBot="1">
      <c r="C26" s="178" t="s">
        <v>28</v>
      </c>
      <c r="D26" s="179"/>
      <c r="E26" s="149">
        <v>0</v>
      </c>
      <c r="F26" s="105">
        <f>E26*F13</f>
        <v>0</v>
      </c>
      <c r="G26" s="178" t="s">
        <v>28</v>
      </c>
      <c r="H26" s="179"/>
      <c r="I26" s="149">
        <v>-4.3999999999999997E-2</v>
      </c>
      <c r="J26" s="96">
        <f>I26*184</f>
        <v>-8.0960000000000001</v>
      </c>
      <c r="K26" s="178" t="s">
        <v>28</v>
      </c>
      <c r="L26" s="179"/>
      <c r="M26" s="149">
        <v>0</v>
      </c>
      <c r="N26" s="105">
        <f>M26*N13</f>
        <v>0</v>
      </c>
      <c r="O26" s="178" t="s">
        <v>28</v>
      </c>
      <c r="P26" s="179"/>
      <c r="Q26" s="149">
        <v>0</v>
      </c>
      <c r="R26" s="105">
        <f>Q26*R13</f>
        <v>0</v>
      </c>
      <c r="S26" s="178" t="s">
        <v>28</v>
      </c>
      <c r="T26" s="179"/>
      <c r="U26" s="107">
        <f t="shared" ref="U26:U28" si="7">F26+J26+N26+R26</f>
        <v>-8.0960000000000001</v>
      </c>
    </row>
    <row r="27" spans="2:21">
      <c r="B27" s="8">
        <v>2022</v>
      </c>
      <c r="C27" s="170" t="s">
        <v>29</v>
      </c>
      <c r="D27" s="171"/>
      <c r="E27" s="147">
        <v>0.90300000000000002</v>
      </c>
      <c r="F27" s="98">
        <f>E27*F13</f>
        <v>472.66632000000004</v>
      </c>
      <c r="G27" s="170" t="s">
        <v>29</v>
      </c>
      <c r="H27" s="171"/>
      <c r="I27" s="147">
        <v>0.90300000000000002</v>
      </c>
      <c r="J27" s="98">
        <f>I27*J13</f>
        <v>481.32608999999997</v>
      </c>
      <c r="K27" s="170" t="s">
        <v>29</v>
      </c>
      <c r="L27" s="171"/>
      <c r="M27" s="147">
        <v>0.76300000000000001</v>
      </c>
      <c r="N27" s="98">
        <f>M27*N13</f>
        <v>376.2353</v>
      </c>
      <c r="O27" s="170" t="s">
        <v>29</v>
      </c>
      <c r="P27" s="171"/>
      <c r="Q27" s="151">
        <v>0.72299999999999998</v>
      </c>
      <c r="R27" s="98">
        <f>Q27*R13</f>
        <v>381.02100000000002</v>
      </c>
      <c r="S27" s="170" t="s">
        <v>29</v>
      </c>
      <c r="T27" s="171"/>
      <c r="U27" s="107">
        <f t="shared" si="7"/>
        <v>1711.2487100000001</v>
      </c>
    </row>
    <row r="28" spans="2:21" ht="19.5" thickBot="1">
      <c r="B28" s="76">
        <f>ROUND(U7-U6,0)</f>
        <v>152</v>
      </c>
      <c r="C28" s="175" t="s">
        <v>40</v>
      </c>
      <c r="D28" s="176"/>
      <c r="E28" s="50">
        <f>+F14+F16+F17+F18+F19+F20+F22+F23+F24+F26+F27</f>
        <v>1408.0451720000001</v>
      </c>
      <c r="F28" s="47">
        <f>E28*25%</f>
        <v>352.01129300000002</v>
      </c>
      <c r="G28" s="175" t="s">
        <v>40</v>
      </c>
      <c r="H28" s="176"/>
      <c r="I28" s="50">
        <f>+J14+J16+J17+J18+J19+J20+J22+J23+J24+J26+J27</f>
        <v>1640.9874559999998</v>
      </c>
      <c r="J28" s="47">
        <f>I28*25%</f>
        <v>410.24686399999996</v>
      </c>
      <c r="K28" s="175" t="s">
        <v>40</v>
      </c>
      <c r="L28" s="176"/>
      <c r="M28" s="50">
        <f>+N14+N16+N17+N18+N19+N20+N22+N23+N24+N26+N27</f>
        <v>1475.3416299999999</v>
      </c>
      <c r="N28" s="47">
        <f>M28*25%</f>
        <v>368.83540749999997</v>
      </c>
      <c r="O28" s="175" t="s">
        <v>40</v>
      </c>
      <c r="P28" s="176"/>
      <c r="Q28" s="50">
        <f>+R14+R16+R17+R18+R19+R20+R22+R23+R24+R26+R27</f>
        <v>2742.9630000000006</v>
      </c>
      <c r="R28" s="47">
        <f>Q28*25%</f>
        <v>685.74075000000016</v>
      </c>
      <c r="S28" s="175" t="s">
        <v>30</v>
      </c>
      <c r="T28" s="176"/>
      <c r="U28" s="107">
        <f t="shared" si="7"/>
        <v>1816.8343145000001</v>
      </c>
    </row>
    <row r="29" spans="2:21" ht="19.5" thickBot="1">
      <c r="B29" s="14" t="str">
        <f>IF(S8&gt;=0," for meget "," for lidt ")</f>
        <v xml:space="preserve"> for meget </v>
      </c>
      <c r="C29" s="172" t="str">
        <f>CONCATENATE("I alt ",Manual!$G$4)</f>
        <v>I alt Norlys Energi A/S</v>
      </c>
      <c r="D29" s="173"/>
      <c r="E29" s="174"/>
      <c r="F29" s="49">
        <f>F14+F16+F17+F18+F19+F20+F22+F23+F24+F26+F27+F28</f>
        <v>1760.0564650000001</v>
      </c>
      <c r="G29" s="172" t="str">
        <f>CONCATENATE("I alt ",Manual!$G$4)</f>
        <v>I alt Norlys Energi A/S</v>
      </c>
      <c r="H29" s="173"/>
      <c r="I29" s="174"/>
      <c r="J29" s="49">
        <f>J14+J16+J17+J18+J19+J20+J22+J23+J24+J26+J27+J28</f>
        <v>2051.2343199999996</v>
      </c>
      <c r="K29" s="172" t="str">
        <f>CONCATENATE("I alt ",Manual!$G$4)</f>
        <v>I alt Norlys Energi A/S</v>
      </c>
      <c r="L29" s="173"/>
      <c r="M29" s="174"/>
      <c r="N29" s="49">
        <f>N14+N16+N17+N18+N19+N20+N22+N23+N24+N26+N27+N28</f>
        <v>1844.1770374999999</v>
      </c>
      <c r="O29" s="172" t="str">
        <f>CONCATENATE("I alt ",Manual!$G$4)</f>
        <v>I alt Norlys Energi A/S</v>
      </c>
      <c r="P29" s="173"/>
      <c r="Q29" s="174"/>
      <c r="R29" s="49">
        <f>R14+R16+R17+R18+R19+R20+R22+R23+R24+R26+R27+R28</f>
        <v>3428.7037500000006</v>
      </c>
      <c r="S29" s="172" t="str">
        <f>CONCATENATE("I alt ",Manual!$G$4)</f>
        <v>I alt Norlys Energi A/S</v>
      </c>
      <c r="T29" s="174"/>
      <c r="U29" s="49">
        <f>U14+U16+U17+U18+U19+U20+U22+U23+U24+U26+U27+U28</f>
        <v>9084.1715724999995</v>
      </c>
    </row>
    <row r="30" spans="2:21" ht="21.75" thickBot="1">
      <c r="C30" s="165" t="str">
        <f>CONCATENATE("GENNEMSNIT PRISER PER kWh I ",B3," ER INCL. ALLE AFGIFTER MED MOMS")</f>
        <v>GENNEMSNIT PRISER PER kWh I 2025 ER INCL. ALLE AFGIFTER MED MOMS</v>
      </c>
      <c r="D30" s="164"/>
      <c r="E30" s="164"/>
      <c r="F30" s="164"/>
      <c r="G30" s="164"/>
      <c r="H30" s="164"/>
      <c r="I30" s="164"/>
      <c r="J30" s="164"/>
      <c r="K30" s="164"/>
      <c r="L30" s="164"/>
      <c r="M30" s="164"/>
      <c r="N30" s="164"/>
      <c r="O30" s="164"/>
      <c r="P30" s="164"/>
      <c r="Q30" s="164"/>
      <c r="R30" s="164"/>
      <c r="S30" s="164"/>
      <c r="T30" s="164"/>
      <c r="U30" s="166"/>
    </row>
    <row r="31" spans="2:21" ht="19.5" thickBot="1">
      <c r="C31" s="172" t="str">
        <f>CONCATENATE("Gennemsnit per kWh 1. kvartal ",$B$3)</f>
        <v>Gennemsnit per kWh 1. kvartal 2025</v>
      </c>
      <c r="D31" s="173"/>
      <c r="E31" s="173"/>
      <c r="F31" s="51">
        <f>F29/F13</f>
        <v>3.362479873528962</v>
      </c>
      <c r="G31" s="172" t="str">
        <f>CONCATENATE("Gennemsnit per kWh 2. kvartal ",$B$3)</f>
        <v>Gennemsnit per kWh 2. kvartal 2025</v>
      </c>
      <c r="H31" s="173"/>
      <c r="I31" s="173"/>
      <c r="J31" s="51">
        <f>J29/G6</f>
        <v>3.8482530439187284</v>
      </c>
      <c r="K31" s="172" t="str">
        <f>CONCATENATE("Gennemsnit per kWh 3. kvartal ",$B$3)</f>
        <v>Gennemsnit per kWh 3. kvartal 2025</v>
      </c>
      <c r="L31" s="173"/>
      <c r="M31" s="173"/>
      <c r="N31" s="51">
        <f>N29/K6</f>
        <v>3.7399656002839174</v>
      </c>
      <c r="O31" s="172" t="str">
        <f>CONCATENATE("Gennemsnit per kWh 4. kvartal ",$B$3)</f>
        <v>Gennemsnit per kWh 4. kvartal 2025</v>
      </c>
      <c r="P31" s="173"/>
      <c r="Q31" s="173"/>
      <c r="R31" s="51">
        <f>R29/O6</f>
        <v>6.5060792220113859</v>
      </c>
      <c r="S31" s="172" t="str">
        <f>CONCATENATE("EL Gennemsnit/kWh ",$B$3)</f>
        <v>EL Gennemsnit/kWh 2025</v>
      </c>
      <c r="T31" s="173"/>
      <c r="U31" s="52">
        <f>U29/U6</f>
        <v>4.3746040694510651</v>
      </c>
    </row>
    <row r="32" spans="2:21" ht="19.5" thickBot="1"/>
    <row r="33" spans="2:24" ht="21.75" thickBot="1">
      <c r="C33" s="165" t="str">
        <f>CONCATENATE("BETALINGSSERVICE ",B3," AF EL TIL ",Manual!$G$4," PER KVARTAL")</f>
        <v>BETALINGSSERVICE 2025 AF EL TIL Norlys Energi A/S PER KVARTAL</v>
      </c>
      <c r="D33" s="164"/>
      <c r="E33" s="164"/>
      <c r="F33" s="164"/>
      <c r="G33" s="164"/>
      <c r="H33" s="164"/>
      <c r="I33" s="164"/>
      <c r="J33" s="164"/>
      <c r="K33" s="164"/>
      <c r="L33" s="164"/>
      <c r="M33" s="164"/>
      <c r="N33" s="164"/>
      <c r="O33" s="164"/>
      <c r="P33" s="164"/>
      <c r="Q33" s="164"/>
      <c r="R33" s="164"/>
      <c r="S33" s="164"/>
      <c r="T33" s="164"/>
      <c r="U33" s="166"/>
      <c r="W33" s="117" t="s">
        <v>56</v>
      </c>
      <c r="X33" s="118">
        <f>+T35</f>
        <v>8871.18</v>
      </c>
    </row>
    <row r="34" spans="2:24">
      <c r="B34" s="32"/>
      <c r="C34" s="167" t="str">
        <f>+B11</f>
        <v>1. kvartal</v>
      </c>
      <c r="D34" s="168"/>
      <c r="E34" s="168"/>
      <c r="F34" s="169"/>
      <c r="G34" s="167" t="str">
        <f>+B15</f>
        <v>2. kvartal</v>
      </c>
      <c r="H34" s="168"/>
      <c r="I34" s="168"/>
      <c r="J34" s="169"/>
      <c r="K34" s="167" t="str">
        <f>+B19</f>
        <v>3. kvartal</v>
      </c>
      <c r="L34" s="168"/>
      <c r="M34" s="168"/>
      <c r="N34" s="169"/>
      <c r="O34" s="167" t="str">
        <f>+B23</f>
        <v>4. kvartal</v>
      </c>
      <c r="P34" s="168"/>
      <c r="Q34" s="168"/>
      <c r="R34" s="169"/>
      <c r="S34" s="167">
        <f>+B3</f>
        <v>2025</v>
      </c>
      <c r="T34" s="168"/>
      <c r="U34" s="169"/>
      <c r="W34" s="117" t="str">
        <f>Manual!$G$4</f>
        <v>Norlys Energi A/S</v>
      </c>
      <c r="X34" s="118">
        <f>+T37</f>
        <v>9084.1715724999995</v>
      </c>
    </row>
    <row r="35" spans="2:24" ht="19.5" thickBot="1">
      <c r="B35" s="32"/>
      <c r="C35" s="40"/>
      <c r="D35" s="154">
        <v>1657.3</v>
      </c>
      <c r="E35" s="41"/>
      <c r="F35" s="42"/>
      <c r="G35" s="40"/>
      <c r="H35" s="154">
        <v>2076.64</v>
      </c>
      <c r="I35" s="41"/>
      <c r="J35" s="42"/>
      <c r="K35" s="40"/>
      <c r="L35" s="154">
        <v>1993.96</v>
      </c>
      <c r="M35" s="41"/>
      <c r="N35" s="42"/>
      <c r="O35" s="40"/>
      <c r="P35" s="154">
        <v>3143.28</v>
      </c>
      <c r="Q35" s="41"/>
      <c r="R35" s="42"/>
      <c r="S35" s="40"/>
      <c r="T35" s="61">
        <f>SUM(C35:R35)</f>
        <v>8871.18</v>
      </c>
      <c r="U35" s="42"/>
      <c r="W35" s="117" t="str">
        <f>IF(X35&gt;=0," Betalt for meget "," Betalt for lidt ")</f>
        <v xml:space="preserve"> Betalt for lidt </v>
      </c>
      <c r="X35" s="119">
        <f>X33-X34</f>
        <v>-212.99157249999917</v>
      </c>
    </row>
    <row r="36" spans="2:24" ht="21.75" thickBot="1">
      <c r="B36" s="32"/>
      <c r="C36" s="165" t="str">
        <f>CONCATENATE("FAKTURERET I ",B3," AF ",Manual!$G$4," PER KVARTAL")</f>
        <v>FAKTURERET I 2025 AF Norlys Energi A/S PER KVARTAL</v>
      </c>
      <c r="D36" s="164"/>
      <c r="E36" s="164"/>
      <c r="F36" s="164"/>
      <c r="G36" s="164"/>
      <c r="H36" s="164"/>
      <c r="I36" s="164"/>
      <c r="J36" s="164"/>
      <c r="K36" s="164"/>
      <c r="L36" s="164"/>
      <c r="M36" s="164"/>
      <c r="N36" s="164"/>
      <c r="O36" s="164"/>
      <c r="P36" s="164"/>
      <c r="Q36" s="164"/>
      <c r="R36" s="164"/>
      <c r="S36" s="164"/>
      <c r="T36" s="164"/>
      <c r="U36" s="166"/>
      <c r="W36" s="117" t="s">
        <v>88</v>
      </c>
      <c r="X36" s="138">
        <f>+'2024'!X38</f>
        <v>-430.60817692223463</v>
      </c>
    </row>
    <row r="37" spans="2:24" ht="19.5" thickBot="1">
      <c r="B37" s="32"/>
      <c r="C37" s="67"/>
      <c r="D37" s="68">
        <f>+F29</f>
        <v>1760.0564650000001</v>
      </c>
      <c r="E37" s="69"/>
      <c r="F37" s="70"/>
      <c r="G37" s="67"/>
      <c r="H37" s="68">
        <f>+J29</f>
        <v>2051.2343199999996</v>
      </c>
      <c r="I37" s="69"/>
      <c r="J37" s="70"/>
      <c r="K37" s="67"/>
      <c r="L37" s="68">
        <f>+N29</f>
        <v>1844.1770374999999</v>
      </c>
      <c r="M37" s="69"/>
      <c r="N37" s="70"/>
      <c r="O37" s="67"/>
      <c r="P37" s="68">
        <f>+R29</f>
        <v>3428.7037500000006</v>
      </c>
      <c r="Q37" s="69"/>
      <c r="R37" s="70"/>
      <c r="S37" s="67"/>
      <c r="T37" s="68">
        <f>D37+H37+L37+P37</f>
        <v>9084.1715724999995</v>
      </c>
      <c r="U37" s="70"/>
      <c r="W37" s="120" t="s">
        <v>86</v>
      </c>
      <c r="X37" s="121">
        <f>X35+X36</f>
        <v>-643.5997494222338</v>
      </c>
    </row>
    <row r="38" spans="2:24">
      <c r="W38" s="117" t="s">
        <v>84</v>
      </c>
      <c r="X38" s="121">
        <f>+X37</f>
        <v>-643.5997494222338</v>
      </c>
    </row>
    <row r="39" spans="2:24">
      <c r="S39" s="38"/>
      <c r="T39" s="38"/>
      <c r="U39" s="38"/>
    </row>
    <row r="40" spans="2:24">
      <c r="S40" s="38"/>
      <c r="T40" s="38"/>
      <c r="U40" s="44"/>
    </row>
    <row r="41" spans="2:24">
      <c r="S41" s="38"/>
      <c r="T41" s="38"/>
      <c r="U41" s="44"/>
    </row>
    <row r="42" spans="2:24">
      <c r="S42" s="38"/>
      <c r="T42" s="38"/>
      <c r="U42" s="44"/>
    </row>
    <row r="43" spans="2:24">
      <c r="S43" s="38"/>
      <c r="T43" s="38"/>
    </row>
    <row r="44" spans="2:24">
      <c r="S44" s="33"/>
      <c r="T44" s="33"/>
      <c r="W44" s="32"/>
    </row>
    <row r="45" spans="2:24">
      <c r="W45" s="32"/>
    </row>
    <row r="46" spans="2:24">
      <c r="W46" s="32"/>
    </row>
    <row r="47" spans="2:24">
      <c r="W47" s="32"/>
    </row>
    <row r="48" spans="2:24">
      <c r="W48" s="32"/>
    </row>
    <row r="49" spans="3:23">
      <c r="W49" s="32"/>
    </row>
    <row r="50" spans="3:23">
      <c r="W50" s="32"/>
    </row>
    <row r="51" spans="3:23">
      <c r="W51" s="32"/>
    </row>
    <row r="52" spans="3:23">
      <c r="W52" s="32"/>
    </row>
    <row r="53" spans="3:23">
      <c r="W53" s="32"/>
    </row>
    <row r="54" spans="3:23">
      <c r="W54" s="32"/>
    </row>
    <row r="62" spans="3:23" ht="21">
      <c r="C62" s="74"/>
      <c r="D62" s="74"/>
      <c r="E62" s="74"/>
      <c r="F62" s="74"/>
      <c r="G62" s="74"/>
      <c r="H62" s="74"/>
      <c r="I62" s="74"/>
      <c r="J62" s="74"/>
      <c r="K62" s="74"/>
      <c r="L62" s="74"/>
      <c r="M62" s="74"/>
      <c r="N62" s="74"/>
      <c r="O62" s="74"/>
      <c r="P62" s="74"/>
      <c r="Q62" s="74"/>
      <c r="R62" s="74"/>
      <c r="S62" s="74"/>
      <c r="T62" s="74"/>
      <c r="U62" s="74"/>
    </row>
    <row r="63" spans="3:23">
      <c r="C63" s="75"/>
      <c r="D63" s="75"/>
      <c r="E63" s="75"/>
      <c r="F63" s="75"/>
      <c r="G63" s="75"/>
      <c r="H63" s="75"/>
      <c r="I63" s="75"/>
      <c r="J63" s="75"/>
      <c r="K63" s="75"/>
      <c r="L63" s="75"/>
      <c r="M63" s="75"/>
      <c r="N63" s="75"/>
      <c r="O63" s="75"/>
      <c r="P63" s="75"/>
      <c r="Q63" s="75"/>
      <c r="R63" s="75"/>
      <c r="S63" s="75"/>
      <c r="T63" s="75"/>
      <c r="U63" s="75"/>
    </row>
    <row r="64" spans="3:23">
      <c r="C64" s="72"/>
      <c r="D64" s="73"/>
      <c r="E64" s="72"/>
      <c r="F64" s="72"/>
      <c r="G64" s="72"/>
      <c r="H64" s="73"/>
      <c r="I64" s="72"/>
      <c r="J64" s="72"/>
      <c r="K64" s="72"/>
      <c r="L64" s="73"/>
      <c r="M64" s="72"/>
      <c r="N64" s="72"/>
      <c r="O64" s="72"/>
      <c r="P64" s="73"/>
      <c r="Q64" s="72"/>
      <c r="R64" s="72"/>
      <c r="S64" s="72"/>
      <c r="T64" s="73"/>
      <c r="U64" s="72"/>
    </row>
  </sheetData>
  <sheetProtection password="D5AA" sheet="1" objects="1" scenarios="1"/>
  <mergeCells count="145">
    <mergeCell ref="B1:U2"/>
    <mergeCell ref="E3:F3"/>
    <mergeCell ref="I3:J3"/>
    <mergeCell ref="M3:N3"/>
    <mergeCell ref="Q3:R3"/>
    <mergeCell ref="E4:F4"/>
    <mergeCell ref="I4:J4"/>
    <mergeCell ref="M4:N4"/>
    <mergeCell ref="Q4:R4"/>
    <mergeCell ref="S6:T6"/>
    <mergeCell ref="W6:AD6"/>
    <mergeCell ref="E7:F7"/>
    <mergeCell ref="I7:J7"/>
    <mergeCell ref="M7:N7"/>
    <mergeCell ref="Q7:R7"/>
    <mergeCell ref="S7:T7"/>
    <mergeCell ref="E5:F5"/>
    <mergeCell ref="I5:J5"/>
    <mergeCell ref="M5:N5"/>
    <mergeCell ref="Q5:R5"/>
    <mergeCell ref="E6:F6"/>
    <mergeCell ref="I6:J6"/>
    <mergeCell ref="M6:N6"/>
    <mergeCell ref="Q6:R6"/>
    <mergeCell ref="E8:F8"/>
    <mergeCell ref="I8:J8"/>
    <mergeCell ref="M8:N8"/>
    <mergeCell ref="Q8:R8"/>
    <mergeCell ref="T8:U8"/>
    <mergeCell ref="D9:F9"/>
    <mergeCell ref="H9:J9"/>
    <mergeCell ref="L9:N9"/>
    <mergeCell ref="P9:R9"/>
    <mergeCell ref="T9:U9"/>
    <mergeCell ref="C12:D12"/>
    <mergeCell ref="G12:H12"/>
    <mergeCell ref="K12:L12"/>
    <mergeCell ref="O12:P12"/>
    <mergeCell ref="S12:T12"/>
    <mergeCell ref="Y12:Z12"/>
    <mergeCell ref="W9:AD9"/>
    <mergeCell ref="C11:F11"/>
    <mergeCell ref="G11:J11"/>
    <mergeCell ref="K11:N11"/>
    <mergeCell ref="O11:R11"/>
    <mergeCell ref="S11:U11"/>
    <mergeCell ref="Y11:Z11"/>
    <mergeCell ref="C13:D13"/>
    <mergeCell ref="G13:H13"/>
    <mergeCell ref="K13:L13"/>
    <mergeCell ref="O13:P13"/>
    <mergeCell ref="S13:T13"/>
    <mergeCell ref="C14:D14"/>
    <mergeCell ref="G14:H14"/>
    <mergeCell ref="K14:L14"/>
    <mergeCell ref="O14:P14"/>
    <mergeCell ref="S14:T14"/>
    <mergeCell ref="C15:F15"/>
    <mergeCell ref="G15:J15"/>
    <mergeCell ref="K15:N15"/>
    <mergeCell ref="O15:R15"/>
    <mergeCell ref="S15:U15"/>
    <mergeCell ref="C16:D16"/>
    <mergeCell ref="G16:H16"/>
    <mergeCell ref="K16:L16"/>
    <mergeCell ref="O16:P16"/>
    <mergeCell ref="S16:T16"/>
    <mergeCell ref="C17:D17"/>
    <mergeCell ref="G17:H17"/>
    <mergeCell ref="K17:L17"/>
    <mergeCell ref="O17:P17"/>
    <mergeCell ref="S17:T17"/>
    <mergeCell ref="C18:D18"/>
    <mergeCell ref="G18:H18"/>
    <mergeCell ref="K18:L18"/>
    <mergeCell ref="O18:P18"/>
    <mergeCell ref="S18:T18"/>
    <mergeCell ref="C19:D19"/>
    <mergeCell ref="G19:H19"/>
    <mergeCell ref="K19:L19"/>
    <mergeCell ref="O19:P19"/>
    <mergeCell ref="S19:T19"/>
    <mergeCell ref="C20:D20"/>
    <mergeCell ref="G20:H20"/>
    <mergeCell ref="K20:L20"/>
    <mergeCell ref="O20:P20"/>
    <mergeCell ref="S20:T20"/>
    <mergeCell ref="C21:F21"/>
    <mergeCell ref="G21:J21"/>
    <mergeCell ref="K21:N21"/>
    <mergeCell ref="O21:R21"/>
    <mergeCell ref="S21:U21"/>
    <mergeCell ref="C22:D22"/>
    <mergeCell ref="G22:H22"/>
    <mergeCell ref="K22:L22"/>
    <mergeCell ref="O22:P22"/>
    <mergeCell ref="S22:T22"/>
    <mergeCell ref="C23:D23"/>
    <mergeCell ref="G23:H23"/>
    <mergeCell ref="K23:L23"/>
    <mergeCell ref="O23:P23"/>
    <mergeCell ref="S23:T23"/>
    <mergeCell ref="C24:D24"/>
    <mergeCell ref="G24:H24"/>
    <mergeCell ref="K24:L24"/>
    <mergeCell ref="O24:P24"/>
    <mergeCell ref="S24:T24"/>
    <mergeCell ref="C25:F25"/>
    <mergeCell ref="G25:J25"/>
    <mergeCell ref="K25:N25"/>
    <mergeCell ref="O25:R25"/>
    <mergeCell ref="S25:U25"/>
    <mergeCell ref="C26:D26"/>
    <mergeCell ref="G26:H26"/>
    <mergeCell ref="K26:L26"/>
    <mergeCell ref="O26:P26"/>
    <mergeCell ref="S26:T26"/>
    <mergeCell ref="C29:E29"/>
    <mergeCell ref="G29:I29"/>
    <mergeCell ref="K29:M29"/>
    <mergeCell ref="O29:Q29"/>
    <mergeCell ref="S29:T29"/>
    <mergeCell ref="C30:U30"/>
    <mergeCell ref="C27:D27"/>
    <mergeCell ref="G27:H27"/>
    <mergeCell ref="K27:L27"/>
    <mergeCell ref="O27:P27"/>
    <mergeCell ref="S27:T27"/>
    <mergeCell ref="C28:D28"/>
    <mergeCell ref="G28:H28"/>
    <mergeCell ref="K28:L28"/>
    <mergeCell ref="O28:P28"/>
    <mergeCell ref="S28:T28"/>
    <mergeCell ref="C34:F34"/>
    <mergeCell ref="G34:J34"/>
    <mergeCell ref="K34:N34"/>
    <mergeCell ref="O34:R34"/>
    <mergeCell ref="S34:U34"/>
    <mergeCell ref="C36:U36"/>
    <mergeCell ref="C31:E31"/>
    <mergeCell ref="G31:I31"/>
    <mergeCell ref="K31:M31"/>
    <mergeCell ref="O31:Q31"/>
    <mergeCell ref="S31:T31"/>
    <mergeCell ref="C33:U33"/>
  </mergeCells>
  <printOptions horizontalCentered="1" verticalCentered="1"/>
  <pageMargins left="0.51181102362204722" right="0" top="0" bottom="0" header="0" footer="0.31496062992125984"/>
  <pageSetup paperSize="9" scale="41" orientation="landscape" r:id="rId1"/>
  <headerFooter>
    <oddFooter>Side &amp;P&amp;RNorlys EL Forbrug.xlsx</oddFooter>
  </headerFooter>
  <ignoredErrors>
    <ignoredError sqref="E18 I18 M18 Q18 X3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6</vt:i4>
      </vt:variant>
    </vt:vector>
  </HeadingPairs>
  <TitlesOfParts>
    <vt:vector size="12" baseType="lpstr">
      <vt:lpstr>Manual</vt:lpstr>
      <vt:lpstr>2021</vt:lpstr>
      <vt:lpstr>2022</vt:lpstr>
      <vt:lpstr>2023</vt:lpstr>
      <vt:lpstr>2024</vt:lpstr>
      <vt:lpstr>2025</vt:lpstr>
      <vt:lpstr>'2021'!Udskriftsområde</vt:lpstr>
      <vt:lpstr>'2022'!Udskriftsområde</vt:lpstr>
      <vt:lpstr>'2023'!Udskriftsområde</vt:lpstr>
      <vt:lpstr>'2024'!Udskriftsområde</vt:lpstr>
      <vt:lpstr>'2025'!Udskriftsområde</vt:lpstr>
      <vt:lpstr>Manual!Udskriftsområde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dc:creator>
  <cp:lastModifiedBy>Walter</cp:lastModifiedBy>
  <cp:lastPrinted>2022-10-25T05:59:22Z</cp:lastPrinted>
  <dcterms:created xsi:type="dcterms:W3CDTF">2022-10-21T05:01:43Z</dcterms:created>
  <dcterms:modified xsi:type="dcterms:W3CDTF">2022-10-25T06:26:11Z</dcterms:modified>
</cp:coreProperties>
</file>